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Commissions" sheetId="1" r:id="rId1"/>
    <sheet name="Sheet2" sheetId="2" state="hidden" r:id="rId2"/>
    <sheet name="Sheet3" sheetId="3" state="hidden" r:id="rId3"/>
  </sheets>
  <definedNames>
    <definedName name="_xlnm.Print_Area" localSheetId="0">'Commissions'!$B$1:$L$23</definedName>
  </definedNames>
  <calcPr fullCalcOnLoad="1"/>
</workbook>
</file>

<file path=xl/sharedStrings.xml><?xml version="1.0" encoding="utf-8"?>
<sst xmlns="http://schemas.openxmlformats.org/spreadsheetml/2006/main" count="64" uniqueCount="58">
  <si>
    <t>Quest Funding Services Commission Schedule</t>
  </si>
  <si>
    <t>(Green Cells Can Be Modified)</t>
  </si>
  <si>
    <t>Supervising Regional Affiliate Receives 5% of a Branch Affiliate's commission, plus addit. 5% from “Corp.”</t>
  </si>
  <si>
    <t>Quarterly Bonus Commission Schedule as/of August 1, 2012</t>
  </si>
  <si>
    <t xml:space="preserve">Assumes Average Commission Yield of </t>
  </si>
  <si>
    <t xml:space="preserve"> for all fundings in quarter</t>
  </si>
  <si>
    <t>W/O Br Affiliate Bonus to Reg. Affiliate</t>
  </si>
  <si>
    <t>With Br Affiliate Bonus to Reg.</t>
  </si>
  <si>
    <t>Total Quarterly Fundings  (Up Thru)</t>
  </si>
  <si>
    <t>Average Monthly Fundings</t>
  </si>
  <si>
    <t>Monthly Base w/o Bonus</t>
  </si>
  <si>
    <t>Total, 30% Base Quarterly Commission</t>
  </si>
  <si>
    <t>Bonus % over Previous Tier</t>
  </si>
  <si>
    <t>Bonus Quarterly Commission</t>
  </si>
  <si>
    <t>Commission % on Highest Earnings Tier</t>
  </si>
  <si>
    <t>Total Quarterly Commission $</t>
  </si>
  <si>
    <t>Total Annual Commission $</t>
  </si>
  <si>
    <t>Average Comm w/ Bonus</t>
  </si>
  <si>
    <t>Quarterly Gross Yield</t>
  </si>
  <si>
    <t>Branch Affiliate</t>
  </si>
  <si>
    <t>Regional Affiliate</t>
  </si>
  <si>
    <t>Quest Quarterly</t>
  </si>
  <si>
    <t>Annual</t>
  </si>
  <si>
    <t>Overall % to Quest</t>
  </si>
  <si>
    <t>(30% Base Tier)</t>
  </si>
  <si>
    <t>Quarterly Fundings to Achieve Maximum Average Total Commission Rate</t>
  </si>
  <si>
    <t>Example of Very Large Number of Quarterly Fundings:  $100,000,000</t>
  </si>
  <si>
    <t>Calculate Total Base and Bonus Commission on Total Quarterly Funding, as if this were the only funding achieved:</t>
  </si>
  <si>
    <t>($50MM minimum)</t>
  </si>
  <si>
    <t xml:space="preserve">Base: </t>
  </si>
  <si>
    <t xml:space="preserve">Bonus: </t>
  </si>
  <si>
    <t xml:space="preserve">Total: </t>
  </si>
  <si>
    <t xml:space="preserve"> Total Commission on this funding only, if, w/ all other fundings, the maximum tier is reached: </t>
  </si>
  <si>
    <t>TIER INCREMENT</t>
  </si>
  <si>
    <r>
      <t xml:space="preserve">Note: The highest % Commission on any individual tier is reached that part of quarterly fundings that exceed $30MM.  However, the </t>
    </r>
    <r>
      <rPr>
        <u val="single"/>
        <sz val="10"/>
        <rFont val="Arial"/>
        <family val="2"/>
      </rPr>
      <t>overall average commission</t>
    </r>
    <r>
      <rPr>
        <sz val="10"/>
        <rFont val="Arial"/>
        <family val="2"/>
      </rPr>
      <t xml:space="preserve"> reaches the maximum with totally quarterly fundings of $50MM or more.  </t>
    </r>
  </si>
  <si>
    <t>Do not Modify</t>
  </si>
  <si>
    <t>Calculate a Base and Bonus Commission on a Single Mortgage based on Current Bonus Tier Attained (after closing)</t>
  </si>
  <si>
    <t>Mtg Amount</t>
  </si>
  <si>
    <t>Gross Points on Mortgage</t>
  </si>
  <si>
    <t>Base Comm</t>
  </si>
  <si>
    <t>Base + Bonus Tier Attained after closing, %</t>
  </si>
  <si>
    <t>Bonus</t>
  </si>
  <si>
    <t>Total Comm on this Mtg.</t>
  </si>
  <si>
    <t>Affiliate Commission Calculation Page</t>
  </si>
  <si>
    <t>Quarterly Bonus Commission Schedule 8-2010</t>
  </si>
  <si>
    <t>Assumes Gross Yield to Quest of</t>
  </si>
  <si>
    <t>Tier Limits</t>
  </si>
  <si>
    <t>Fundings in each Tier</t>
  </si>
  <si>
    <t>Base w/o Bonus</t>
  </si>
  <si>
    <t>Bonus % over Base Tier</t>
  </si>
  <si>
    <t>Quarterly Fundings of $50,000,000 Reaches Maximum Average Total Commission Rate of 65%</t>
  </si>
  <si>
    <t>Quarterly Fundings Over Tier Plateau</t>
  </si>
  <si>
    <t>Assumed Funding:</t>
  </si>
  <si>
    <t>Total Base:</t>
  </si>
  <si>
    <t>Total Commission:</t>
  </si>
  <si>
    <t>Total Bonus:</t>
  </si>
  <si>
    <t>Increment</t>
  </si>
  <si>
    <t>to next lower tier.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</si>
</sst>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0.000%"/>
    <numFmt numFmtId="167" formatCode="_(* #,##0.00_);_(* \(#,##0.00\);_(* \-??_);_(@_)"/>
    <numFmt numFmtId="168" formatCode="_(* #,##0_);_(* \(#,##0\);_(* \-??_);_(@_)"/>
    <numFmt numFmtId="169" formatCode="0.0%"/>
    <numFmt numFmtId="170" formatCode="0.00%"/>
    <numFmt numFmtId="171" formatCode="_(\$* #,##0.00_);_(\$* \(#,##0.00\);_(\$* \-??_);_(@_)"/>
    <numFmt numFmtId="172" formatCode="_(\$* #,##0_);_(\$* \(#,##0\);_(\$* \-??_);_(@_)"/>
    <numFmt numFmtId="173" formatCode="[$$-409]#,##0;[RED]\-[$$-409]#,##0"/>
  </numFmts>
  <fonts count="20"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31"/>
      <name val="Arial"/>
      <family val="2"/>
    </font>
    <font>
      <i/>
      <u val="single"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3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right"/>
    </xf>
    <xf numFmtId="166" fontId="6" fillId="3" borderId="3" xfId="19" applyNumberFormat="1" applyFont="1" applyFill="1" applyBorder="1" applyAlignment="1" applyProtection="1">
      <alignment horizontal="center"/>
      <protection locked="0"/>
    </xf>
    <xf numFmtId="164" fontId="5" fillId="0" borderId="4" xfId="0" applyFont="1" applyBorder="1" applyAlignment="1">
      <alignment/>
    </xf>
    <xf numFmtId="165" fontId="7" fillId="0" borderId="4" xfId="0" applyNumberFormat="1" applyFont="1" applyBorder="1" applyAlignment="1">
      <alignment horizontal="left"/>
    </xf>
    <xf numFmtId="164" fontId="0" fillId="0" borderId="5" xfId="0" applyBorder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wrapText="1"/>
    </xf>
    <xf numFmtId="164" fontId="5" fillId="0" borderId="8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8" fontId="5" fillId="0" borderId="3" xfId="15" applyNumberFormat="1" applyFont="1" applyFill="1" applyBorder="1" applyAlignment="1" applyProtection="1">
      <alignment/>
      <protection locked="0"/>
    </xf>
    <xf numFmtId="168" fontId="0" fillId="0" borderId="6" xfId="15" applyNumberFormat="1" applyFont="1" applyFill="1" applyBorder="1" applyAlignment="1" applyProtection="1">
      <alignment/>
      <protection/>
    </xf>
    <xf numFmtId="168" fontId="0" fillId="0" borderId="2" xfId="15" applyNumberFormat="1" applyFont="1" applyFill="1" applyBorder="1" applyAlignment="1" applyProtection="1">
      <alignment/>
      <protection/>
    </xf>
    <xf numFmtId="168" fontId="0" fillId="0" borderId="9" xfId="0" applyNumberFormat="1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9" fontId="5" fillId="5" borderId="3" xfId="19" applyNumberFormat="1" applyFont="1" applyFill="1" applyBorder="1" applyAlignment="1" applyProtection="1">
      <alignment horizontal="center"/>
      <protection locked="0"/>
    </xf>
    <xf numFmtId="168" fontId="0" fillId="6" borderId="3" xfId="19" applyNumberFormat="1" applyFont="1" applyFill="1" applyBorder="1" applyAlignment="1" applyProtection="1">
      <alignment horizontal="center"/>
      <protection/>
    </xf>
    <xf numFmtId="168" fontId="0" fillId="6" borderId="4" xfId="19" applyNumberFormat="1" applyFont="1" applyFill="1" applyBorder="1" applyAlignment="1" applyProtection="1">
      <alignment horizontal="center"/>
      <protection/>
    </xf>
    <xf numFmtId="170" fontId="0" fillId="6" borderId="3" xfId="19" applyNumberFormat="1" applyFont="1" applyFill="1" applyBorder="1" applyAlignment="1" applyProtection="1">
      <alignment/>
      <protection/>
    </xf>
    <xf numFmtId="165" fontId="0" fillId="0" borderId="0" xfId="19" applyFont="1" applyFill="1" applyBorder="1" applyAlignment="1" applyProtection="1">
      <alignment/>
      <protection/>
    </xf>
    <xf numFmtId="168" fontId="0" fillId="0" borderId="10" xfId="15" applyNumberFormat="1" applyFont="1" applyFill="1" applyBorder="1" applyAlignment="1" applyProtection="1">
      <alignment/>
      <protection/>
    </xf>
    <xf numFmtId="168" fontId="0" fillId="0" borderId="0" xfId="15" applyNumberFormat="1" applyFont="1" applyFill="1" applyBorder="1" applyAlignment="1" applyProtection="1">
      <alignment/>
      <protection/>
    </xf>
    <xf numFmtId="168" fontId="9" fillId="0" borderId="11" xfId="0" applyNumberFormat="1" applyFont="1" applyFill="1" applyBorder="1" applyAlignment="1">
      <alignment/>
    </xf>
    <xf numFmtId="168" fontId="9" fillId="0" borderId="10" xfId="15" applyNumberFormat="1" applyFont="1" applyFill="1" applyBorder="1" applyAlignment="1" applyProtection="1">
      <alignment/>
      <protection/>
    </xf>
    <xf numFmtId="170" fontId="9" fillId="0" borderId="12" xfId="19" applyNumberFormat="1" applyFont="1" applyFill="1" applyBorder="1" applyAlignment="1" applyProtection="1">
      <alignment/>
      <protection/>
    </xf>
    <xf numFmtId="168" fontId="0" fillId="0" borderId="8" xfId="15" applyNumberFormat="1" applyFont="1" applyFill="1" applyBorder="1" applyAlignment="1" applyProtection="1">
      <alignment/>
      <protection/>
    </xf>
    <xf numFmtId="168" fontId="0" fillId="0" borderId="13" xfId="15" applyNumberFormat="1" applyFont="1" applyFill="1" applyBorder="1" applyAlignment="1" applyProtection="1">
      <alignment/>
      <protection/>
    </xf>
    <xf numFmtId="168" fontId="0" fillId="0" borderId="14" xfId="0" applyNumberFormat="1" applyFont="1" applyFill="1" applyBorder="1" applyAlignment="1">
      <alignment horizontal="center"/>
    </xf>
    <xf numFmtId="166" fontId="5" fillId="0" borderId="3" xfId="19" applyNumberFormat="1" applyFont="1" applyFill="1" applyBorder="1" applyAlignment="1" applyProtection="1">
      <alignment horizontal="center"/>
      <protection locked="0"/>
    </xf>
    <xf numFmtId="168" fontId="0" fillId="0" borderId="14" xfId="15" applyNumberFormat="1" applyFont="1" applyFill="1" applyBorder="1" applyAlignment="1" applyProtection="1">
      <alignment horizontal="right"/>
      <protection/>
    </xf>
    <xf numFmtId="169" fontId="0" fillId="0" borderId="10" xfId="19" applyNumberFormat="1" applyFont="1" applyFill="1" applyBorder="1" applyAlignment="1" applyProtection="1">
      <alignment horizontal="center"/>
      <protection/>
    </xf>
    <xf numFmtId="168" fontId="0" fillId="0" borderId="10" xfId="19" applyNumberFormat="1" applyFont="1" applyFill="1" applyBorder="1" applyAlignment="1" applyProtection="1">
      <alignment horizontal="center"/>
      <protection/>
    </xf>
    <xf numFmtId="168" fontId="0" fillId="0" borderId="14" xfId="19" applyNumberFormat="1" applyFont="1" applyFill="1" applyBorder="1" applyAlignment="1" applyProtection="1">
      <alignment horizontal="center"/>
      <protection/>
    </xf>
    <xf numFmtId="170" fontId="0" fillId="0" borderId="10" xfId="19" applyNumberFormat="1" applyFont="1" applyFill="1" applyBorder="1" applyAlignment="1" applyProtection="1">
      <alignment/>
      <protection/>
    </xf>
    <xf numFmtId="168" fontId="0" fillId="0" borderId="15" xfId="15" applyNumberFormat="1" applyFont="1" applyFill="1" applyBorder="1" applyAlignment="1" applyProtection="1">
      <alignment/>
      <protection/>
    </xf>
    <xf numFmtId="168" fontId="9" fillId="0" borderId="16" xfId="0" applyNumberFormat="1" applyFont="1" applyFill="1" applyBorder="1" applyAlignment="1">
      <alignment/>
    </xf>
    <xf numFmtId="168" fontId="9" fillId="0" borderId="15" xfId="15" applyNumberFormat="1" applyFont="1" applyFill="1" applyBorder="1" applyAlignment="1" applyProtection="1">
      <alignment/>
      <protection/>
    </xf>
    <xf numFmtId="170" fontId="9" fillId="0" borderId="17" xfId="19" applyNumberFormat="1" applyFont="1" applyFill="1" applyBorder="1" applyAlignment="1" applyProtection="1">
      <alignment/>
      <protection/>
    </xf>
    <xf numFmtId="168" fontId="0" fillId="0" borderId="18" xfId="0" applyNumberFormat="1" applyFont="1" applyFill="1" applyBorder="1" applyAlignment="1">
      <alignment horizontal="center"/>
    </xf>
    <xf numFmtId="166" fontId="0" fillId="0" borderId="10" xfId="19" applyNumberFormat="1" applyFont="1" applyFill="1" applyBorder="1" applyAlignment="1" applyProtection="1">
      <alignment horizontal="center"/>
      <protection locked="0"/>
    </xf>
    <xf numFmtId="169" fontId="0" fillId="0" borderId="15" xfId="19" applyNumberFormat="1" applyFont="1" applyFill="1" applyBorder="1" applyAlignment="1" applyProtection="1">
      <alignment horizontal="center"/>
      <protection/>
    </xf>
    <xf numFmtId="168" fontId="0" fillId="0" borderId="19" xfId="19" applyNumberFormat="1" applyFont="1" applyFill="1" applyBorder="1" applyAlignment="1" applyProtection="1">
      <alignment horizontal="center"/>
      <protection/>
    </xf>
    <xf numFmtId="170" fontId="0" fillId="0" borderId="15" xfId="19" applyNumberFormat="1" applyFont="1" applyFill="1" applyBorder="1" applyAlignment="1" applyProtection="1">
      <alignment/>
      <protection/>
    </xf>
    <xf numFmtId="166" fontId="0" fillId="0" borderId="15" xfId="19" applyNumberFormat="1" applyFont="1" applyFill="1" applyBorder="1" applyAlignment="1" applyProtection="1">
      <alignment horizontal="center"/>
      <protection locked="0"/>
    </xf>
    <xf numFmtId="168" fontId="0" fillId="0" borderId="0" xfId="19" applyNumberFormat="1" applyFont="1" applyFill="1" applyBorder="1" applyAlignment="1" applyProtection="1">
      <alignment horizontal="center"/>
      <protection/>
    </xf>
    <xf numFmtId="168" fontId="0" fillId="0" borderId="20" xfId="15" applyNumberFormat="1" applyFont="1" applyFill="1" applyBorder="1" applyAlignment="1" applyProtection="1">
      <alignment/>
      <protection/>
    </xf>
    <xf numFmtId="168" fontId="0" fillId="0" borderId="21" xfId="0" applyNumberFormat="1" applyFont="1" applyFill="1" applyBorder="1" applyAlignment="1">
      <alignment horizontal="center"/>
    </xf>
    <xf numFmtId="166" fontId="0" fillId="0" borderId="20" xfId="19" applyNumberFormat="1" applyFont="1" applyFill="1" applyBorder="1" applyAlignment="1" applyProtection="1">
      <alignment horizontal="center"/>
      <protection locked="0"/>
    </xf>
    <xf numFmtId="168" fontId="0" fillId="0" borderId="0" xfId="15" applyNumberFormat="1" applyFont="1" applyFill="1" applyBorder="1" applyAlignment="1" applyProtection="1">
      <alignment horizontal="right"/>
      <protection/>
    </xf>
    <xf numFmtId="169" fontId="0" fillId="0" borderId="20" xfId="19" applyNumberFormat="1" applyFont="1" applyFill="1" applyBorder="1" applyAlignment="1" applyProtection="1">
      <alignment horizontal="center"/>
      <protection/>
    </xf>
    <xf numFmtId="168" fontId="0" fillId="0" borderId="8" xfId="19" applyNumberFormat="1" applyFont="1" applyFill="1" applyBorder="1" applyAlignment="1" applyProtection="1">
      <alignment horizontal="center"/>
      <protection/>
    </xf>
    <xf numFmtId="168" fontId="0" fillId="0" borderId="22" xfId="19" applyNumberFormat="1" applyFont="1" applyFill="1" applyBorder="1" applyAlignment="1" applyProtection="1">
      <alignment horizontal="center"/>
      <protection/>
    </xf>
    <xf numFmtId="170" fontId="0" fillId="0" borderId="20" xfId="19" applyNumberFormat="1" applyFont="1" applyFill="1" applyBorder="1" applyAlignment="1" applyProtection="1">
      <alignment/>
      <protection/>
    </xf>
    <xf numFmtId="165" fontId="0" fillId="0" borderId="8" xfId="19" applyFont="1" applyFill="1" applyBorder="1" applyAlignment="1" applyProtection="1">
      <alignment/>
      <protection/>
    </xf>
    <xf numFmtId="168" fontId="9" fillId="0" borderId="23" xfId="0" applyNumberFormat="1" applyFont="1" applyFill="1" applyBorder="1" applyAlignment="1">
      <alignment/>
    </xf>
    <xf numFmtId="168" fontId="9" fillId="0" borderId="20" xfId="15" applyNumberFormat="1" applyFont="1" applyFill="1" applyBorder="1" applyAlignment="1" applyProtection="1">
      <alignment/>
      <protection/>
    </xf>
    <xf numFmtId="170" fontId="9" fillId="0" borderId="24" xfId="19" applyNumberFormat="1" applyFont="1" applyFill="1" applyBorder="1" applyAlignment="1" applyProtection="1">
      <alignment/>
      <protection/>
    </xf>
    <xf numFmtId="168" fontId="0" fillId="0" borderId="3" xfId="15" applyNumberFormat="1" applyFont="1" applyFill="1" applyBorder="1" applyAlignment="1" applyProtection="1">
      <alignment/>
      <protection/>
    </xf>
    <xf numFmtId="168" fontId="0" fillId="0" borderId="4" xfId="0" applyNumberFormat="1" applyFont="1" applyFill="1" applyBorder="1" applyAlignment="1">
      <alignment horizontal="center"/>
    </xf>
    <xf numFmtId="166" fontId="0" fillId="4" borderId="3" xfId="19" applyNumberFormat="1" applyFont="1" applyFill="1" applyBorder="1" applyAlignment="1" applyProtection="1">
      <alignment horizontal="center"/>
      <protection locked="0"/>
    </xf>
    <xf numFmtId="168" fontId="0" fillId="0" borderId="4" xfId="15" applyNumberFormat="1" applyFont="1" applyFill="1" applyBorder="1" applyAlignment="1" applyProtection="1">
      <alignment horizontal="right"/>
      <protection/>
    </xf>
    <xf numFmtId="169" fontId="0" fillId="0" borderId="3" xfId="19" applyNumberFormat="1" applyFont="1" applyFill="1" applyBorder="1" applyAlignment="1" applyProtection="1">
      <alignment horizontal="center"/>
      <protection/>
    </xf>
    <xf numFmtId="168" fontId="0" fillId="0" borderId="3" xfId="19" applyNumberFormat="1" applyFont="1" applyFill="1" applyBorder="1" applyAlignment="1" applyProtection="1">
      <alignment horizontal="center"/>
      <protection/>
    </xf>
    <xf numFmtId="168" fontId="0" fillId="0" borderId="4" xfId="19" applyNumberFormat="1" applyFont="1" applyFill="1" applyBorder="1" applyAlignment="1" applyProtection="1">
      <alignment horizontal="center"/>
      <protection/>
    </xf>
    <xf numFmtId="170" fontId="0" fillId="0" borderId="3" xfId="19" applyNumberFormat="1" applyFont="1" applyFill="1" applyBorder="1" applyAlignment="1" applyProtection="1">
      <alignment/>
      <protection/>
    </xf>
    <xf numFmtId="168" fontId="9" fillId="0" borderId="9" xfId="0" applyNumberFormat="1" applyFont="1" applyFill="1" applyBorder="1" applyAlignment="1">
      <alignment/>
    </xf>
    <xf numFmtId="168" fontId="9" fillId="0" borderId="3" xfId="15" applyNumberFormat="1" applyFont="1" applyFill="1" applyBorder="1" applyAlignment="1" applyProtection="1">
      <alignment/>
      <protection/>
    </xf>
    <xf numFmtId="170" fontId="9" fillId="0" borderId="5" xfId="19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64" fontId="5" fillId="0" borderId="25" xfId="0" applyFont="1" applyBorder="1" applyAlignment="1">
      <alignment horizontal="center"/>
    </xf>
    <xf numFmtId="168" fontId="0" fillId="0" borderId="3" xfId="15" applyNumberFormat="1" applyFont="1" applyFill="1" applyBorder="1" applyAlignment="1" applyProtection="1">
      <alignment/>
      <protection locked="0"/>
    </xf>
    <xf numFmtId="168" fontId="0" fillId="0" borderId="3" xfId="15" applyNumberFormat="1" applyFont="1" applyFill="1" applyBorder="1" applyAlignment="1" applyProtection="1">
      <alignment horizontal="right"/>
      <protection/>
    </xf>
    <xf numFmtId="168" fontId="0" fillId="0" borderId="5" xfId="19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>
      <alignment horizontal="center"/>
    </xf>
    <xf numFmtId="166" fontId="0" fillId="0" borderId="0" xfId="19" applyNumberFormat="1" applyFont="1" applyFill="1" applyBorder="1" applyAlignment="1" applyProtection="1">
      <alignment horizontal="center"/>
      <protection locked="0"/>
    </xf>
    <xf numFmtId="169" fontId="0" fillId="0" borderId="0" xfId="19" applyNumberFormat="1" applyFont="1" applyFill="1" applyBorder="1" applyAlignment="1" applyProtection="1">
      <alignment horizontal="center"/>
      <protection/>
    </xf>
    <xf numFmtId="165" fontId="0" fillId="0" borderId="0" xfId="19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>
      <alignment/>
    </xf>
    <xf numFmtId="168" fontId="3" fillId="0" borderId="0" xfId="15" applyNumberFormat="1" applyFont="1" applyFill="1" applyBorder="1" applyAlignment="1" applyProtection="1">
      <alignment/>
      <protection/>
    </xf>
    <xf numFmtId="170" fontId="3" fillId="0" borderId="0" xfId="19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>
      <alignment horizontal="center"/>
    </xf>
    <xf numFmtId="168" fontId="11" fillId="0" borderId="0" xfId="19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Border="1" applyAlignment="1">
      <alignment/>
    </xf>
    <xf numFmtId="165" fontId="3" fillId="0" borderId="0" xfId="19" applyNumberFormat="1" applyFont="1" applyFill="1" applyBorder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68" fontId="5" fillId="3" borderId="3" xfId="15" applyNumberFormat="1" applyFont="1" applyFill="1" applyBorder="1" applyAlignment="1" applyProtection="1">
      <alignment/>
      <protection locked="0"/>
    </xf>
    <xf numFmtId="168" fontId="2" fillId="0" borderId="0" xfId="15" applyNumberFormat="1" applyFont="1" applyFill="1" applyBorder="1" applyAlignment="1" applyProtection="1">
      <alignment/>
      <protection/>
    </xf>
    <xf numFmtId="164" fontId="12" fillId="0" borderId="0" xfId="0" applyFont="1" applyAlignment="1">
      <alignment horizontal="right"/>
    </xf>
    <xf numFmtId="172" fontId="5" fillId="7" borderId="3" xfId="17" applyNumberFormat="1" applyFont="1" applyFill="1" applyBorder="1" applyAlignment="1" applyProtection="1">
      <alignment/>
      <protection/>
    </xf>
    <xf numFmtId="173" fontId="5" fillId="7" borderId="2" xfId="0" applyNumberFormat="1" applyFont="1" applyFill="1" applyBorder="1" applyAlignment="1">
      <alignment/>
    </xf>
    <xf numFmtId="168" fontId="13" fillId="7" borderId="3" xfId="19" applyNumberFormat="1" applyFont="1" applyFill="1" applyBorder="1" applyAlignment="1" applyProtection="1">
      <alignment horizontal="center"/>
      <protection/>
    </xf>
    <xf numFmtId="170" fontId="0" fillId="0" borderId="1" xfId="0" applyNumberFormat="1" applyBorder="1" applyAlignment="1">
      <alignment/>
    </xf>
    <xf numFmtId="164" fontId="0" fillId="0" borderId="0" xfId="0" applyFill="1" applyAlignment="1">
      <alignment/>
    </xf>
    <xf numFmtId="168" fontId="5" fillId="0" borderId="0" xfId="15" applyNumberFormat="1" applyFont="1" applyFill="1" applyBorder="1" applyAlignment="1" applyProtection="1">
      <alignment/>
      <protection locked="0"/>
    </xf>
    <xf numFmtId="164" fontId="0" fillId="0" borderId="0" xfId="0" applyFill="1" applyBorder="1" applyAlignment="1">
      <alignment/>
    </xf>
    <xf numFmtId="164" fontId="12" fillId="0" borderId="0" xfId="0" applyFont="1" applyFill="1" applyAlignment="1">
      <alignment horizontal="right"/>
    </xf>
    <xf numFmtId="172" fontId="5" fillId="0" borderId="0" xfId="17" applyNumberFormat="1" applyFont="1" applyFill="1" applyBorder="1" applyAlignment="1" applyProtection="1">
      <alignment/>
      <protection/>
    </xf>
    <xf numFmtId="172" fontId="14" fillId="0" borderId="22" xfId="17" applyNumberFormat="1" applyFont="1" applyFill="1" applyBorder="1" applyAlignment="1" applyProtection="1">
      <alignment/>
      <protection/>
    </xf>
    <xf numFmtId="170" fontId="0" fillId="0" borderId="0" xfId="0" applyNumberForma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68" fontId="9" fillId="0" borderId="0" xfId="15" applyNumberFormat="1" applyFont="1" applyFill="1" applyBorder="1" applyAlignment="1" applyProtection="1">
      <alignment/>
      <protection/>
    </xf>
    <xf numFmtId="170" fontId="9" fillId="0" borderId="0" xfId="19" applyNumberFormat="1" applyFont="1" applyFill="1" applyBorder="1" applyAlignment="1" applyProtection="1">
      <alignment/>
      <protection/>
    </xf>
    <xf numFmtId="168" fontId="0" fillId="0" borderId="5" xfId="0" applyNumberFormat="1" applyFont="1" applyFill="1" applyBorder="1" applyAlignment="1">
      <alignment horizontal="center"/>
    </xf>
    <xf numFmtId="168" fontId="0" fillId="0" borderId="8" xfId="15" applyNumberFormat="1" applyFont="1" applyFill="1" applyBorder="1" applyAlignment="1" applyProtection="1">
      <alignment horizontal="right"/>
      <protection/>
    </xf>
    <xf numFmtId="168" fontId="5" fillId="0" borderId="0" xfId="15" applyNumberFormat="1" applyFont="1" applyFill="1" applyBorder="1" applyAlignment="1" applyProtection="1">
      <alignment horizontal="right"/>
      <protection/>
    </xf>
    <xf numFmtId="168" fontId="13" fillId="7" borderId="1" xfId="19" applyNumberFormat="1" applyFont="1" applyFill="1" applyBorder="1" applyAlignment="1" applyProtection="1">
      <alignment horizontal="center"/>
      <protection/>
    </xf>
    <xf numFmtId="164" fontId="15" fillId="0" borderId="2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wrapText="1"/>
    </xf>
    <xf numFmtId="164" fontId="16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9" fillId="7" borderId="0" xfId="0" applyFont="1" applyFill="1" applyAlignment="1">
      <alignment/>
    </xf>
    <xf numFmtId="168" fontId="5" fillId="5" borderId="3" xfId="15" applyNumberFormat="1" applyFont="1" applyFill="1" applyBorder="1" applyAlignment="1" applyProtection="1">
      <alignment/>
      <protection locked="0"/>
    </xf>
    <xf numFmtId="168" fontId="2" fillId="0" borderId="0" xfId="15" applyNumberFormat="1" applyFont="1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wrapText="1"/>
    </xf>
    <xf numFmtId="168" fontId="5" fillId="3" borderId="3" xfId="15" applyNumberFormat="1" applyFont="1" applyFill="1" applyBorder="1" applyAlignment="1" applyProtection="1">
      <alignment horizontal="center"/>
      <protection locked="0"/>
    </xf>
    <xf numFmtId="165" fontId="5" fillId="3" borderId="3" xfId="19" applyFont="1" applyFill="1" applyBorder="1" applyAlignment="1" applyProtection="1">
      <alignment horizontal="center"/>
      <protection locked="0"/>
    </xf>
    <xf numFmtId="172" fontId="5" fillId="0" borderId="3" xfId="17" applyNumberFormat="1" applyFont="1" applyFill="1" applyBorder="1" applyAlignment="1" applyProtection="1">
      <alignment horizontal="center"/>
      <protection/>
    </xf>
    <xf numFmtId="165" fontId="5" fillId="3" borderId="9" xfId="19" applyFont="1" applyFill="1" applyBorder="1" applyAlignment="1" applyProtection="1">
      <alignment horizontal="center"/>
      <protection locked="0"/>
    </xf>
    <xf numFmtId="172" fontId="5" fillId="0" borderId="3" xfId="17" applyNumberFormat="1" applyFont="1" applyFill="1" applyBorder="1" applyAlignment="1" applyProtection="1">
      <alignment/>
      <protection/>
    </xf>
    <xf numFmtId="164" fontId="18" fillId="0" borderId="9" xfId="0" applyFont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0" fillId="0" borderId="9" xfId="0" applyBorder="1" applyAlignment="1">
      <alignment/>
    </xf>
    <xf numFmtId="164" fontId="19" fillId="0" borderId="4" xfId="0" applyFont="1" applyBorder="1" applyAlignment="1">
      <alignment horizontal="right"/>
    </xf>
    <xf numFmtId="168" fontId="0" fillId="5" borderId="2" xfId="15" applyNumberFormat="1" applyFont="1" applyFill="1" applyBorder="1" applyAlignment="1" applyProtection="1">
      <alignment/>
      <protection/>
    </xf>
    <xf numFmtId="168" fontId="0" fillId="5" borderId="9" xfId="0" applyNumberFormat="1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8" fontId="0" fillId="4" borderId="3" xfId="0" applyNumberFormat="1" applyFont="1" applyFill="1" applyBorder="1" applyAlignment="1">
      <alignment horizontal="center"/>
    </xf>
    <xf numFmtId="168" fontId="0" fillId="0" borderId="10" xfId="15" applyNumberFormat="1" applyFont="1" applyFill="1" applyBorder="1" applyAlignment="1" applyProtection="1">
      <alignment horizontal="right"/>
      <protection/>
    </xf>
    <xf numFmtId="168" fontId="0" fillId="5" borderId="3" xfId="15" applyNumberFormat="1" applyFont="1" applyFill="1" applyBorder="1" applyAlignment="1" applyProtection="1">
      <alignment/>
      <protection/>
    </xf>
    <xf numFmtId="166" fontId="0" fillId="0" borderId="3" xfId="19" applyNumberFormat="1" applyFont="1" applyFill="1" applyBorder="1" applyAlignment="1" applyProtection="1">
      <alignment horizontal="center"/>
      <protection locked="0"/>
    </xf>
    <xf numFmtId="168" fontId="0" fillId="8" borderId="3" xfId="15" applyNumberFormat="1" applyFont="1" applyFill="1" applyBorder="1" applyAlignment="1" applyProtection="1">
      <alignment/>
      <protection/>
    </xf>
    <xf numFmtId="168" fontId="0" fillId="8" borderId="3" xfId="15" applyNumberFormat="1" applyFont="1" applyFill="1" applyBorder="1" applyAlignment="1" applyProtection="1">
      <alignment horizontal="right"/>
      <protection/>
    </xf>
    <xf numFmtId="164" fontId="0" fillId="0" borderId="3" xfId="0" applyFont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5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8" fontId="5" fillId="0" borderId="3" xfId="15" applyNumberFormat="1" applyFont="1" applyFill="1" applyBorder="1" applyAlignment="1" applyProtection="1">
      <alignment/>
      <protection/>
    </xf>
    <xf numFmtId="168" fontId="5" fillId="0" borderId="0" xfId="15" applyNumberFormat="1" applyFont="1" applyFill="1" applyBorder="1" applyAlignment="1" applyProtection="1">
      <alignment/>
      <protection/>
    </xf>
    <xf numFmtId="168" fontId="0" fillId="0" borderId="3" xfId="0" applyNumberFormat="1" applyBorder="1" applyAlignment="1">
      <alignment/>
    </xf>
    <xf numFmtId="164" fontId="16" fillId="0" borderId="2" xfId="0" applyFont="1" applyBorder="1" applyAlignment="1">
      <alignment horizontal="center"/>
    </xf>
    <xf numFmtId="164" fontId="16" fillId="0" borderId="7" xfId="0" applyFont="1" applyBorder="1" applyAlignment="1">
      <alignment horizontal="center"/>
    </xf>
    <xf numFmtId="168" fontId="5" fillId="0" borderId="7" xfId="15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5"/>
  <sheetViews>
    <sheetView showGridLines="0" tabSelected="1" zoomScale="92" zoomScaleNormal="92" workbookViewId="0" topLeftCell="A1">
      <selection activeCell="F1" sqref="F1"/>
    </sheetView>
  </sheetViews>
  <sheetFormatPr defaultColWidth="9.140625" defaultRowHeight="12.75"/>
  <cols>
    <col min="1" max="1" width="3.7109375" style="0" customWidth="1"/>
    <col min="2" max="3" width="12.7109375" style="0" customWidth="1"/>
    <col min="4" max="4" width="2.7109375" style="1" customWidth="1"/>
    <col min="5" max="5" width="12.00390625" style="0" customWidth="1"/>
    <col min="6" max="6" width="15.57421875" style="0" customWidth="1"/>
    <col min="7" max="7" width="18.7109375" style="0" customWidth="1"/>
    <col min="8" max="9" width="15.57421875" style="0" customWidth="1"/>
    <col min="10" max="10" width="12.7109375" style="0" customWidth="1"/>
    <col min="11" max="11" width="0" style="0" hidden="1" customWidth="1"/>
    <col min="12" max="12" width="9.7109375" style="0" customWidth="1"/>
    <col min="13" max="13" width="3.7109375" style="0" customWidth="1"/>
    <col min="14" max="14" width="16.7109375" style="0" customWidth="1"/>
    <col min="15" max="15" width="3.7109375" style="0" customWidth="1"/>
    <col min="16" max="17" width="11.8515625" style="0" customWidth="1"/>
    <col min="18" max="18" width="3.7109375" style="1" customWidth="1"/>
    <col min="19" max="25" width="0" style="0" hidden="1" customWidth="1"/>
  </cols>
  <sheetData>
    <row r="1" spans="6:10" ht="12.75">
      <c r="F1" s="2" t="s">
        <v>0</v>
      </c>
      <c r="G1" s="2"/>
      <c r="H1" s="2"/>
      <c r="I1" s="2"/>
      <c r="J1" s="2"/>
    </row>
    <row r="3" spans="6:22" ht="12.75">
      <c r="F3" s="3" t="s">
        <v>1</v>
      </c>
      <c r="G3" s="3"/>
      <c r="H3" s="3"/>
      <c r="I3" s="3"/>
      <c r="J3" s="3"/>
      <c r="S3" s="4"/>
      <c r="T3" s="4"/>
      <c r="U3" s="4"/>
      <c r="V3" s="4"/>
    </row>
    <row r="4" spans="5:22" ht="12.75">
      <c r="E4" s="5" t="s">
        <v>2</v>
      </c>
      <c r="F4" s="5"/>
      <c r="G4" s="5"/>
      <c r="H4" s="5"/>
      <c r="I4" s="5"/>
      <c r="J4" s="5"/>
      <c r="K4" s="5"/>
      <c r="L4" s="5"/>
      <c r="S4" s="4"/>
      <c r="T4" s="4"/>
      <c r="U4" s="4"/>
      <c r="V4" s="4"/>
    </row>
    <row r="5" spans="2:22" ht="12.75">
      <c r="B5" s="6"/>
      <c r="C5" s="6"/>
      <c r="D5" s="6"/>
      <c r="E5" s="7" t="s">
        <v>3</v>
      </c>
      <c r="F5" s="7"/>
      <c r="G5" s="7"/>
      <c r="H5" s="7"/>
      <c r="I5" s="7"/>
      <c r="J5" s="7"/>
      <c r="K5" s="7"/>
      <c r="L5" s="7"/>
      <c r="S5" s="4"/>
      <c r="T5" s="4"/>
      <c r="U5" s="4"/>
      <c r="V5" s="4"/>
    </row>
    <row r="6" spans="2:25" ht="12.75">
      <c r="B6" s="1"/>
      <c r="C6" s="1"/>
      <c r="E6" s="8" t="s">
        <v>4</v>
      </c>
      <c r="F6" s="8"/>
      <c r="G6" s="8"/>
      <c r="H6" s="9">
        <v>0.01</v>
      </c>
      <c r="I6" s="10" t="s">
        <v>5</v>
      </c>
      <c r="J6" s="11"/>
      <c r="K6" s="11"/>
      <c r="L6" s="12"/>
      <c r="M6" s="1"/>
      <c r="S6" s="5" t="s">
        <v>6</v>
      </c>
      <c r="T6" s="5"/>
      <c r="U6" s="5"/>
      <c r="V6" s="4"/>
      <c r="W6" s="5" t="s">
        <v>7</v>
      </c>
      <c r="X6" s="5"/>
      <c r="Y6" s="5"/>
    </row>
    <row r="7" spans="2:25" ht="12.75">
      <c r="B7" s="13" t="s">
        <v>8</v>
      </c>
      <c r="C7" s="13" t="s">
        <v>9</v>
      </c>
      <c r="D7" s="14"/>
      <c r="E7" s="15" t="s">
        <v>10</v>
      </c>
      <c r="F7" s="16" t="s">
        <v>11</v>
      </c>
      <c r="G7" s="17" t="s">
        <v>12</v>
      </c>
      <c r="H7" s="18" t="s">
        <v>13</v>
      </c>
      <c r="I7" s="16" t="s">
        <v>14</v>
      </c>
      <c r="J7" s="18" t="s">
        <v>15</v>
      </c>
      <c r="K7" s="19" t="s">
        <v>16</v>
      </c>
      <c r="L7" s="20" t="s">
        <v>17</v>
      </c>
      <c r="M7" s="14"/>
      <c r="N7" s="20" t="s">
        <v>18</v>
      </c>
      <c r="O7" s="19"/>
      <c r="P7" s="20" t="s">
        <v>19</v>
      </c>
      <c r="Q7" s="20" t="s">
        <v>20</v>
      </c>
      <c r="R7" s="19"/>
      <c r="S7" s="21" t="s">
        <v>21</v>
      </c>
      <c r="T7" s="22" t="s">
        <v>22</v>
      </c>
      <c r="U7" s="23" t="s">
        <v>23</v>
      </c>
      <c r="V7" s="4"/>
      <c r="W7" s="21" t="s">
        <v>21</v>
      </c>
      <c r="X7" s="22" t="s">
        <v>22</v>
      </c>
      <c r="Y7" s="23" t="s">
        <v>23</v>
      </c>
    </row>
    <row r="8" spans="2:25" ht="12.75">
      <c r="B8" s="24">
        <v>5000000</v>
      </c>
      <c r="C8" s="24">
        <f>B8/3</f>
        <v>1666666.6666666667</v>
      </c>
      <c r="D8" s="25"/>
      <c r="E8" s="26">
        <f>F8/3</f>
        <v>4166.666666666667</v>
      </c>
      <c r="F8" s="27">
        <f>I8*N8</f>
        <v>12500</v>
      </c>
      <c r="G8" s="28" t="s">
        <v>24</v>
      </c>
      <c r="H8" s="29">
        <v>0</v>
      </c>
      <c r="I8" s="30">
        <v>0.25</v>
      </c>
      <c r="J8" s="31">
        <f>F8+H8</f>
        <v>12500</v>
      </c>
      <c r="K8" s="32">
        <f>4*J8</f>
        <v>50000</v>
      </c>
      <c r="L8" s="33">
        <f>J8/N8</f>
        <v>0.25</v>
      </c>
      <c r="M8" s="34"/>
      <c r="N8" s="35">
        <f>B8*H$6</f>
        <v>50000</v>
      </c>
      <c r="O8" s="36"/>
      <c r="P8" s="35">
        <f>J8-(Q8/2)</f>
        <v>10000</v>
      </c>
      <c r="Q8" s="35">
        <f>0.1*N8</f>
        <v>5000</v>
      </c>
      <c r="R8" s="36"/>
      <c r="S8" s="37">
        <f>N8-J8</f>
        <v>37500</v>
      </c>
      <c r="T8" s="38">
        <f>4*S8</f>
        <v>150000</v>
      </c>
      <c r="U8" s="39">
        <f>S8/$N8</f>
        <v>0.75</v>
      </c>
      <c r="V8" s="4"/>
      <c r="W8" s="37">
        <f>Y8*N8</f>
        <v>35000</v>
      </c>
      <c r="X8" s="38">
        <f>4*W8</f>
        <v>140000</v>
      </c>
      <c r="Y8" s="39">
        <f>U8-0.05</f>
        <v>0.7</v>
      </c>
    </row>
    <row r="9" spans="2:25" ht="12.75">
      <c r="B9" s="35">
        <f>B8+B$30</f>
        <v>10000000</v>
      </c>
      <c r="C9" s="35">
        <f>B9/3</f>
        <v>3333333.3333333335</v>
      </c>
      <c r="D9" s="40"/>
      <c r="E9" s="41">
        <f>F9/3</f>
        <v>8333.333333333334</v>
      </c>
      <c r="F9" s="42">
        <f>N9*I$8</f>
        <v>25000</v>
      </c>
      <c r="G9" s="43">
        <v>0.1</v>
      </c>
      <c r="H9" s="44">
        <f>J9-F9</f>
        <v>5000</v>
      </c>
      <c r="I9" s="45">
        <f>I8+G9</f>
        <v>0.35</v>
      </c>
      <c r="J9" s="46">
        <f>J8+((N9-N8)*I9)</f>
        <v>30000</v>
      </c>
      <c r="K9" s="47">
        <f>4*J9</f>
        <v>120000</v>
      </c>
      <c r="L9" s="48">
        <f>J9/N9</f>
        <v>0.3</v>
      </c>
      <c r="M9" s="34"/>
      <c r="N9" s="49">
        <f>B9*H$6</f>
        <v>100000</v>
      </c>
      <c r="O9" s="36"/>
      <c r="P9" s="49">
        <f>J9-(Q9/2)</f>
        <v>25000</v>
      </c>
      <c r="Q9" s="49">
        <f>0.1*N9</f>
        <v>10000</v>
      </c>
      <c r="R9" s="36"/>
      <c r="S9" s="50">
        <f>N9-J9</f>
        <v>70000</v>
      </c>
      <c r="T9" s="51">
        <f>4*S9</f>
        <v>280000</v>
      </c>
      <c r="U9" s="52">
        <f>S9/N9</f>
        <v>0.7</v>
      </c>
      <c r="V9" s="4"/>
      <c r="W9" s="50">
        <f>Y9*N9</f>
        <v>64999.99999999999</v>
      </c>
      <c r="X9" s="51">
        <f>4*W9</f>
        <v>259999.99999999997</v>
      </c>
      <c r="Y9" s="52">
        <f>U9-0.05</f>
        <v>0.6499999999999999</v>
      </c>
    </row>
    <row r="10" spans="2:25" ht="12.75">
      <c r="B10" s="35">
        <f>B9+B$30</f>
        <v>15000000</v>
      </c>
      <c r="C10" s="35">
        <f>B10/3</f>
        <v>5000000</v>
      </c>
      <c r="D10" s="40"/>
      <c r="E10" s="49">
        <f>F10/3</f>
        <v>12500</v>
      </c>
      <c r="F10" s="53">
        <f>N10*I$8</f>
        <v>37500</v>
      </c>
      <c r="G10" s="54">
        <f>G9</f>
        <v>0.1</v>
      </c>
      <c r="H10" s="44">
        <f>J10-F10</f>
        <v>15000</v>
      </c>
      <c r="I10" s="55">
        <f>I9+G10</f>
        <v>0.44999999999999996</v>
      </c>
      <c r="J10" s="46">
        <f>J9+((N10-N9)*I10)</f>
        <v>52500</v>
      </c>
      <c r="K10" s="56">
        <f>4*J10</f>
        <v>210000</v>
      </c>
      <c r="L10" s="57">
        <f>J10/N10</f>
        <v>0.35</v>
      </c>
      <c r="M10" s="34"/>
      <c r="N10" s="49">
        <f>B10*H$6</f>
        <v>150000</v>
      </c>
      <c r="O10" s="36"/>
      <c r="P10" s="49">
        <f>J10-(Q10/2)</f>
        <v>45000</v>
      </c>
      <c r="Q10" s="49">
        <f>0.1*N10</f>
        <v>15000</v>
      </c>
      <c r="R10" s="36"/>
      <c r="S10" s="50">
        <f>N10-J10</f>
        <v>97500</v>
      </c>
      <c r="T10" s="51">
        <f>4*S10</f>
        <v>390000</v>
      </c>
      <c r="U10" s="52">
        <f>S10/N10</f>
        <v>0.65</v>
      </c>
      <c r="V10" s="4"/>
      <c r="W10" s="50">
        <f>Y10*N10</f>
        <v>90000</v>
      </c>
      <c r="X10" s="51">
        <f>4*W10</f>
        <v>360000</v>
      </c>
      <c r="Y10" s="52">
        <f>U10-0.05</f>
        <v>0.6</v>
      </c>
    </row>
    <row r="11" spans="2:25" ht="12.75">
      <c r="B11" s="35">
        <f>B10+B$30</f>
        <v>20000000</v>
      </c>
      <c r="C11" s="35">
        <f>B11/3</f>
        <v>6666666.666666667</v>
      </c>
      <c r="D11" s="40"/>
      <c r="E11" s="49">
        <f>F11/3</f>
        <v>16666.666666666668</v>
      </c>
      <c r="F11" s="53">
        <f>N11*I$8</f>
        <v>50000</v>
      </c>
      <c r="G11" s="58">
        <f>G10</f>
        <v>0.1</v>
      </c>
      <c r="H11" s="44">
        <f>J11-F11</f>
        <v>30000</v>
      </c>
      <c r="I11" s="55">
        <f>I10+G11</f>
        <v>0.5499999999999999</v>
      </c>
      <c r="J11" s="46">
        <f>J10+((N11-N10)*I11)</f>
        <v>80000</v>
      </c>
      <c r="K11" s="56">
        <f>4*J11</f>
        <v>320000</v>
      </c>
      <c r="L11" s="57">
        <f>J11/N11</f>
        <v>0.4</v>
      </c>
      <c r="M11" s="34"/>
      <c r="N11" s="49">
        <f>B11*H$6</f>
        <v>200000</v>
      </c>
      <c r="O11" s="36"/>
      <c r="P11" s="49">
        <f>J11-(Q11/2)</f>
        <v>70000</v>
      </c>
      <c r="Q11" s="49">
        <f>0.1*N11</f>
        <v>20000</v>
      </c>
      <c r="R11" s="36"/>
      <c r="S11" s="50">
        <f>N11-J11</f>
        <v>120000</v>
      </c>
      <c r="T11" s="51">
        <f>4*S11</f>
        <v>480000</v>
      </c>
      <c r="U11" s="52">
        <f>S11/N11</f>
        <v>0.6</v>
      </c>
      <c r="V11" s="4"/>
      <c r="W11" s="50">
        <f>Y11*N11</f>
        <v>109999.99999999999</v>
      </c>
      <c r="X11" s="51">
        <f>4*W11</f>
        <v>439999.99999999994</v>
      </c>
      <c r="Y11" s="52">
        <f>U11-0.05</f>
        <v>0.5499999999999999</v>
      </c>
    </row>
    <row r="12" spans="2:25" ht="12.75">
      <c r="B12" s="35">
        <f>B11+B$30</f>
        <v>25000000</v>
      </c>
      <c r="C12" s="35">
        <f>B12/3</f>
        <v>8333333.333333333</v>
      </c>
      <c r="D12" s="40"/>
      <c r="E12" s="49">
        <f>F12/3</f>
        <v>20833.333333333332</v>
      </c>
      <c r="F12" s="53">
        <f>N12*I$8</f>
        <v>62500</v>
      </c>
      <c r="G12" s="58">
        <v>0.1</v>
      </c>
      <c r="H12" s="44">
        <f>J12-F12</f>
        <v>50000</v>
      </c>
      <c r="I12" s="55">
        <f>I11+G12</f>
        <v>0.6499999999999999</v>
      </c>
      <c r="J12" s="59">
        <f>J11+((N12-N11)*I12)</f>
        <v>112500</v>
      </c>
      <c r="K12" s="56">
        <f>4*J12</f>
        <v>450000</v>
      </c>
      <c r="L12" s="57">
        <f>J12/N12</f>
        <v>0.45</v>
      </c>
      <c r="M12" s="34"/>
      <c r="N12" s="49">
        <f>B12*H$6</f>
        <v>250000</v>
      </c>
      <c r="O12" s="36"/>
      <c r="P12" s="49">
        <f>J12-(Q12/2)</f>
        <v>100000</v>
      </c>
      <c r="Q12" s="49">
        <f>0.1*N12</f>
        <v>25000</v>
      </c>
      <c r="R12" s="36"/>
      <c r="S12" s="50">
        <f>N12-J12</f>
        <v>137500</v>
      </c>
      <c r="T12" s="51">
        <f>4*S12</f>
        <v>550000</v>
      </c>
      <c r="U12" s="52">
        <f>S12/N12</f>
        <v>0.55</v>
      </c>
      <c r="V12" s="4"/>
      <c r="W12" s="50">
        <f>Y12*N12</f>
        <v>125000</v>
      </c>
      <c r="X12" s="51">
        <f>4*W12</f>
        <v>500000</v>
      </c>
      <c r="Y12" s="52">
        <f>U12-0.05</f>
        <v>0.5</v>
      </c>
    </row>
    <row r="13" spans="2:25" ht="12.75">
      <c r="B13" s="40">
        <f>B12+B30</f>
        <v>30000000</v>
      </c>
      <c r="C13" s="40">
        <f>B13/3</f>
        <v>10000000</v>
      </c>
      <c r="D13" s="40"/>
      <c r="E13" s="60">
        <f>F13/3</f>
        <v>25000</v>
      </c>
      <c r="F13" s="61">
        <f>N13*I$8</f>
        <v>75000</v>
      </c>
      <c r="G13" s="62">
        <v>0.1</v>
      </c>
      <c r="H13" s="63">
        <f>J13-F13</f>
        <v>75000</v>
      </c>
      <c r="I13" s="64">
        <f>I12+G13</f>
        <v>0.7499999999999999</v>
      </c>
      <c r="J13" s="65">
        <f>J12+((N13-N12)*I13)</f>
        <v>150000</v>
      </c>
      <c r="K13" s="66">
        <f>4*J13</f>
        <v>600000</v>
      </c>
      <c r="L13" s="67">
        <f>J13/N13</f>
        <v>0.5</v>
      </c>
      <c r="M13" s="68"/>
      <c r="N13" s="60">
        <f>B13*H$6</f>
        <v>300000</v>
      </c>
      <c r="O13" s="36"/>
      <c r="P13" s="60">
        <f>J13-(Q13/2)</f>
        <v>135000</v>
      </c>
      <c r="Q13" s="60">
        <f>0.1*N13</f>
        <v>30000</v>
      </c>
      <c r="R13" s="36"/>
      <c r="S13" s="69">
        <f>N13-J13</f>
        <v>150000</v>
      </c>
      <c r="T13" s="70">
        <f>4*S13</f>
        <v>600000</v>
      </c>
      <c r="U13" s="71">
        <f>S13/N13</f>
        <v>0.5</v>
      </c>
      <c r="V13" s="4"/>
      <c r="W13" s="69">
        <f>Y13*N13</f>
        <v>135000</v>
      </c>
      <c r="X13" s="70">
        <f>4*W13</f>
        <v>540000</v>
      </c>
      <c r="Y13" s="71">
        <f>U13-0.05</f>
        <v>0.45</v>
      </c>
    </row>
    <row r="14" spans="2:25" ht="12.75">
      <c r="B14" s="72">
        <f>B13+(1.5*B30)</f>
        <v>37500000</v>
      </c>
      <c r="C14" s="72">
        <f>B14/3</f>
        <v>12500000</v>
      </c>
      <c r="D14" s="40"/>
      <c r="E14" s="72">
        <f>F14/3</f>
        <v>31250</v>
      </c>
      <c r="F14" s="73">
        <f>N14*I$8</f>
        <v>93750</v>
      </c>
      <c r="G14" s="74">
        <v>0</v>
      </c>
      <c r="H14" s="75">
        <f>J14-F14</f>
        <v>112500</v>
      </c>
      <c r="I14" s="76">
        <f>I13+G14</f>
        <v>0.7499999999999999</v>
      </c>
      <c r="J14" s="77">
        <f>J13+((N14-N13)*I14)</f>
        <v>206250</v>
      </c>
      <c r="K14" s="78">
        <f>4*J14</f>
        <v>825000</v>
      </c>
      <c r="L14" s="79">
        <f>J14/N14</f>
        <v>0.55</v>
      </c>
      <c r="M14" s="68"/>
      <c r="N14" s="72">
        <f>B14*H$6</f>
        <v>375000</v>
      </c>
      <c r="O14" s="36"/>
      <c r="P14" s="72">
        <f>J14-(Q14/2)</f>
        <v>187500</v>
      </c>
      <c r="Q14" s="72">
        <f>0.1*N14</f>
        <v>37500</v>
      </c>
      <c r="R14" s="36"/>
      <c r="S14" s="80">
        <f>N14-J14</f>
        <v>168750</v>
      </c>
      <c r="T14" s="81">
        <f>4*S14</f>
        <v>675000</v>
      </c>
      <c r="U14" s="82">
        <f>S14/N14</f>
        <v>0.45</v>
      </c>
      <c r="V14" s="4"/>
      <c r="W14" s="80">
        <f>Y14*N14</f>
        <v>150000</v>
      </c>
      <c r="X14" s="81">
        <f>4*W14</f>
        <v>600000</v>
      </c>
      <c r="Y14" s="82">
        <f>U14-0.05</f>
        <v>0.4</v>
      </c>
    </row>
    <row r="15" spans="12:25" ht="12.75">
      <c r="L15" s="83"/>
      <c r="S15" s="84"/>
      <c r="T15" s="84"/>
      <c r="U15" s="85"/>
      <c r="V15" s="4"/>
      <c r="W15" s="84">
        <f>Y15*N15</f>
        <v>0</v>
      </c>
      <c r="X15" s="84"/>
      <c r="Y15" s="85">
        <f>U15-0.05</f>
        <v>-0.05</v>
      </c>
    </row>
    <row r="16" spans="5:25" ht="12.75">
      <c r="E16" s="86" t="s">
        <v>25</v>
      </c>
      <c r="F16" s="86"/>
      <c r="G16" s="86"/>
      <c r="H16" s="86"/>
      <c r="I16" s="86"/>
      <c r="J16" s="86"/>
      <c r="K16" s="86"/>
      <c r="L16" s="86"/>
      <c r="S16" s="84"/>
      <c r="T16" s="84"/>
      <c r="U16" s="85"/>
      <c r="V16" s="4"/>
      <c r="W16" s="84">
        <f>Y16*N16</f>
        <v>0</v>
      </c>
      <c r="X16" s="84"/>
      <c r="Y16" s="85">
        <f>U16-0.05</f>
        <v>-0.05</v>
      </c>
    </row>
    <row r="17" spans="2:25" ht="12.75">
      <c r="B17" s="87">
        <v>50000000</v>
      </c>
      <c r="C17" s="72">
        <f>B17/3</f>
        <v>16666666.666666666</v>
      </c>
      <c r="D17" s="25"/>
      <c r="E17" s="72">
        <f>F17/3</f>
        <v>41666.666666666664</v>
      </c>
      <c r="F17" s="73">
        <f>N17*I$8</f>
        <v>125000</v>
      </c>
      <c r="G17" s="74">
        <v>0</v>
      </c>
      <c r="H17" s="88">
        <f>J17-F17</f>
        <v>175000</v>
      </c>
      <c r="I17" s="76">
        <f>I$14+G17</f>
        <v>0.7499999999999999</v>
      </c>
      <c r="J17" s="77">
        <f>J$14+((N17-N$14)*I17)</f>
        <v>300000</v>
      </c>
      <c r="K17" s="89">
        <f>4*J17</f>
        <v>1200000</v>
      </c>
      <c r="L17" s="79">
        <f>1-U17</f>
        <v>0.6</v>
      </c>
      <c r="M17" s="34"/>
      <c r="N17" s="72">
        <f>B17*H$6</f>
        <v>500000</v>
      </c>
      <c r="O17" s="36"/>
      <c r="P17" s="72">
        <f>J17-(Q17/2)</f>
        <v>275000</v>
      </c>
      <c r="Q17" s="72">
        <f>0.1*N17</f>
        <v>50000</v>
      </c>
      <c r="R17" s="36"/>
      <c r="S17" s="80">
        <f>N17-J17</f>
        <v>200000</v>
      </c>
      <c r="T17" s="81">
        <f>4*S17</f>
        <v>800000</v>
      </c>
      <c r="U17" s="82">
        <f>S17/N17</f>
        <v>0.4</v>
      </c>
      <c r="V17" s="4"/>
      <c r="W17" s="80">
        <f>Y17*N17</f>
        <v>175000.00000000003</v>
      </c>
      <c r="X17" s="81">
        <f>4*W17</f>
        <v>700000.0000000001</v>
      </c>
      <c r="Y17" s="82">
        <f>U17-0.05</f>
        <v>0.35000000000000003</v>
      </c>
    </row>
    <row r="18" spans="2:25" ht="6" customHeight="1">
      <c r="B18" s="36"/>
      <c r="C18" s="36"/>
      <c r="D18" s="36"/>
      <c r="E18" s="36"/>
      <c r="F18" s="90"/>
      <c r="G18" s="91"/>
      <c r="H18" s="63"/>
      <c r="I18" s="92"/>
      <c r="J18" s="59"/>
      <c r="K18" s="59"/>
      <c r="L18" s="93"/>
      <c r="M18" s="34"/>
      <c r="N18" s="36"/>
      <c r="O18" s="36"/>
      <c r="P18" s="36"/>
      <c r="Q18" s="36"/>
      <c r="R18" s="36"/>
      <c r="S18" s="94"/>
      <c r="T18" s="95"/>
      <c r="U18" s="96"/>
      <c r="V18" s="4"/>
      <c r="W18" s="94">
        <f>Y18*N18</f>
        <v>0</v>
      </c>
      <c r="X18" s="95"/>
      <c r="Y18" s="96">
        <f>U18-0.05</f>
        <v>-0.05</v>
      </c>
    </row>
    <row r="19" spans="2:25" ht="12.75" hidden="1">
      <c r="B19" s="36"/>
      <c r="C19" s="36"/>
      <c r="D19" s="36"/>
      <c r="E19" s="36"/>
      <c r="F19" s="97" t="s">
        <v>26</v>
      </c>
      <c r="G19" s="97"/>
      <c r="H19" s="97"/>
      <c r="I19" s="97"/>
      <c r="J19" s="97"/>
      <c r="K19" s="59"/>
      <c r="L19" s="93"/>
      <c r="M19" s="34"/>
      <c r="N19" s="36"/>
      <c r="O19" s="36"/>
      <c r="P19" s="36"/>
      <c r="Q19" s="36"/>
      <c r="R19" s="36"/>
      <c r="S19" s="94"/>
      <c r="T19" s="95"/>
      <c r="U19" s="96"/>
      <c r="V19" s="4"/>
      <c r="W19" s="94">
        <f>Y19*N19</f>
        <v>0</v>
      </c>
      <c r="X19" s="95"/>
      <c r="Y19" s="96">
        <f>U19-0.05</f>
        <v>-0.05</v>
      </c>
    </row>
    <row r="20" spans="2:25" ht="12.75" hidden="1">
      <c r="B20" s="72">
        <v>100000000</v>
      </c>
      <c r="C20" s="72">
        <f>B20/3</f>
        <v>33333333.333333332</v>
      </c>
      <c r="D20" s="25"/>
      <c r="E20" s="72">
        <f>F20/3</f>
        <v>83333.33333333333</v>
      </c>
      <c r="F20" s="73">
        <f>N20*I$8</f>
        <v>250000</v>
      </c>
      <c r="G20" s="74">
        <f>G17</f>
        <v>0</v>
      </c>
      <c r="H20" s="75">
        <f>J20-F20</f>
        <v>400000</v>
      </c>
      <c r="I20" s="76">
        <f>I$14+G20</f>
        <v>0.7499999999999999</v>
      </c>
      <c r="J20" s="65">
        <f>IF((J21)/N20&gt;(0.65/N20),0.65*N20,J21)</f>
        <v>650000</v>
      </c>
      <c r="K20" s="78"/>
      <c r="L20" s="79">
        <f>1-U20</f>
        <v>0.65</v>
      </c>
      <c r="M20" s="34"/>
      <c r="N20" s="72">
        <f>B20*H$6</f>
        <v>1000000</v>
      </c>
      <c r="O20" s="36"/>
      <c r="P20" s="72">
        <f>J20-(Q20/2)</f>
        <v>600000</v>
      </c>
      <c r="Q20" s="72">
        <f>0.1*N20</f>
        <v>100000</v>
      </c>
      <c r="R20" s="36"/>
      <c r="S20" s="80">
        <f>N20-J20</f>
        <v>350000</v>
      </c>
      <c r="T20" s="81">
        <f>4*S20</f>
        <v>1400000</v>
      </c>
      <c r="U20" s="82">
        <f>S20/N20</f>
        <v>0.35</v>
      </c>
      <c r="V20" s="4"/>
      <c r="W20" s="80">
        <f>Y20*N20</f>
        <v>300000</v>
      </c>
      <c r="X20" s="81">
        <f>4*W20</f>
        <v>1200000</v>
      </c>
      <c r="Y20" s="82">
        <f>U20-0.05</f>
        <v>0.3</v>
      </c>
    </row>
    <row r="21" spans="2:25" ht="12.75">
      <c r="B21" s="36"/>
      <c r="C21" s="36"/>
      <c r="D21" s="36"/>
      <c r="E21" s="36"/>
      <c r="F21" s="90"/>
      <c r="G21" s="91"/>
      <c r="H21" s="63"/>
      <c r="I21" s="92"/>
      <c r="J21" s="98">
        <f>J$14+((N20-N$14)*I20)</f>
        <v>675000</v>
      </c>
      <c r="K21" s="59"/>
      <c r="L21" s="93"/>
      <c r="M21" s="34"/>
      <c r="N21" s="36"/>
      <c r="O21" s="36"/>
      <c r="P21" s="36"/>
      <c r="Q21" s="36"/>
      <c r="R21" s="36"/>
      <c r="S21" s="99"/>
      <c r="T21" s="95"/>
      <c r="U21" s="100"/>
      <c r="V21" s="4"/>
      <c r="W21" s="99">
        <f>Y21*N21</f>
        <v>0</v>
      </c>
      <c r="X21" s="95"/>
      <c r="Y21" s="100">
        <f>U21-0.05</f>
        <v>-0.05</v>
      </c>
    </row>
    <row r="22" spans="2:25" ht="12.75">
      <c r="B22" s="101" t="s">
        <v>27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W22" s="102">
        <f>Y22*N22</f>
        <v>0</v>
      </c>
      <c r="Y22" s="102">
        <f>U22-0.05</f>
        <v>-0.05</v>
      </c>
    </row>
    <row r="23" spans="2:25" ht="12.75">
      <c r="B23" s="103">
        <v>2100000</v>
      </c>
      <c r="C23" s="104" t="s">
        <v>28</v>
      </c>
      <c r="E23" s="105" t="s">
        <v>29</v>
      </c>
      <c r="F23" s="106">
        <f>Sheet2!E26</f>
        <v>5250</v>
      </c>
      <c r="G23" s="105" t="s">
        <v>30</v>
      </c>
      <c r="H23" s="107">
        <f>IF((H24/N23)&gt;0.35,0.35*N23,H24)</f>
        <v>0</v>
      </c>
      <c r="I23" s="105" t="s">
        <v>31</v>
      </c>
      <c r="J23" s="108">
        <f>IF((J24)/N23&gt;((0.65*N23)/N23),0.65*N23,J24)</f>
        <v>5250</v>
      </c>
      <c r="L23" s="109">
        <f>J23/N23</f>
        <v>0.25</v>
      </c>
      <c r="N23" s="72">
        <f>B23*H$6</f>
        <v>21000</v>
      </c>
      <c r="O23" s="36"/>
      <c r="P23" s="72">
        <f>J23-(Q23/2)</f>
        <v>4200</v>
      </c>
      <c r="Q23" s="72">
        <f>0.1*N23</f>
        <v>2100</v>
      </c>
      <c r="S23" s="80">
        <f>N23-J23</f>
        <v>15750</v>
      </c>
      <c r="T23" s="81">
        <f>4*S23</f>
        <v>63000</v>
      </c>
      <c r="U23" s="82">
        <f>S23/N23</f>
        <v>0.75</v>
      </c>
      <c r="W23" s="80">
        <f>Y23*N23</f>
        <v>14699.999999999998</v>
      </c>
      <c r="X23" s="81">
        <f>4*W23</f>
        <v>58799.99999999999</v>
      </c>
      <c r="Y23" s="82">
        <f>U23-0.05</f>
        <v>0.7</v>
      </c>
    </row>
    <row r="24" spans="2:21" s="110" customFormat="1" ht="12.75">
      <c r="B24" s="111"/>
      <c r="C24" s="104"/>
      <c r="D24" s="112"/>
      <c r="E24" s="113"/>
      <c r="F24" s="114"/>
      <c r="G24" s="113"/>
      <c r="H24" s="115">
        <f>Sheet2!H26</f>
        <v>0</v>
      </c>
      <c r="I24" s="113"/>
      <c r="J24" s="115">
        <f>Sheet2!G26</f>
        <v>5250</v>
      </c>
      <c r="L24" s="116"/>
      <c r="N24" s="36"/>
      <c r="O24" s="36"/>
      <c r="P24" s="36"/>
      <c r="Q24" s="36"/>
      <c r="R24" s="112"/>
      <c r="S24" s="117"/>
      <c r="T24" s="118"/>
      <c r="U24" s="119"/>
    </row>
    <row r="25" spans="2:22" ht="12.75" hidden="1">
      <c r="B25" s="103">
        <v>200000000</v>
      </c>
      <c r="C25" s="72">
        <f>B25/3</f>
        <v>66666666.666666664</v>
      </c>
      <c r="D25" s="25"/>
      <c r="E25" s="72">
        <f>F25/3</f>
        <v>166666.66666666666</v>
      </c>
      <c r="F25" s="120">
        <f>N25*I$8</f>
        <v>500000</v>
      </c>
      <c r="G25" s="105" t="s">
        <v>30</v>
      </c>
      <c r="H25" s="121">
        <f>J25-F25</f>
        <v>800000</v>
      </c>
      <c r="I25" s="105" t="s">
        <v>31</v>
      </c>
      <c r="J25" s="65">
        <f>IF((J26)/N25&gt;((0.65*N25)/N25),0.65*N25,J26)</f>
        <v>1300000</v>
      </c>
      <c r="K25" s="78"/>
      <c r="L25" s="79">
        <f>1-U25</f>
        <v>0.65</v>
      </c>
      <c r="M25" s="34"/>
      <c r="N25" s="72">
        <f>B25*H$6</f>
        <v>2000000</v>
      </c>
      <c r="O25" s="36"/>
      <c r="P25" s="72"/>
      <c r="Q25" s="72"/>
      <c r="R25" s="36"/>
      <c r="S25" s="80">
        <f>N25-J25</f>
        <v>700000</v>
      </c>
      <c r="T25" s="81">
        <f>4*S25</f>
        <v>2800000</v>
      </c>
      <c r="U25" s="82">
        <f>S25/N25</f>
        <v>0.35</v>
      </c>
      <c r="V25" s="4"/>
    </row>
    <row r="26" spans="2:22" ht="12.75" hidden="1">
      <c r="B26" s="36"/>
      <c r="C26" s="36"/>
      <c r="D26" s="36"/>
      <c r="E26" s="36"/>
      <c r="F26" s="90"/>
      <c r="G26" s="91"/>
      <c r="H26" s="63"/>
      <c r="I26" s="92"/>
      <c r="J26" s="98">
        <f>J$14+((N25-N$14)*I14)</f>
        <v>1424999.9999999998</v>
      </c>
      <c r="K26" s="59"/>
      <c r="L26" s="93"/>
      <c r="M26" s="34"/>
      <c r="N26" s="36"/>
      <c r="O26" s="36"/>
      <c r="P26" s="36"/>
      <c r="Q26" s="36"/>
      <c r="R26" s="36"/>
      <c r="S26" s="99"/>
      <c r="T26" s="95"/>
      <c r="U26" s="100"/>
      <c r="V26" s="4"/>
    </row>
    <row r="27" spans="2:22" ht="12.75">
      <c r="B27" s="36"/>
      <c r="C27" s="122" t="s">
        <v>32</v>
      </c>
      <c r="D27" s="122"/>
      <c r="E27" s="122"/>
      <c r="F27" s="122"/>
      <c r="G27" s="122"/>
      <c r="H27" s="122"/>
      <c r="I27" s="122"/>
      <c r="J27" s="123">
        <f>B23*H6*L17</f>
        <v>12600</v>
      </c>
      <c r="K27" s="59"/>
      <c r="L27" s="93"/>
      <c r="M27" s="34"/>
      <c r="N27" s="36"/>
      <c r="O27" s="36"/>
      <c r="P27" s="36"/>
      <c r="Q27" s="36"/>
      <c r="R27" s="36"/>
      <c r="S27" s="99"/>
      <c r="T27" s="95"/>
      <c r="U27" s="100"/>
      <c r="V27" s="4"/>
    </row>
    <row r="28" spans="19:22" ht="12.75">
      <c r="S28" s="4"/>
      <c r="T28" s="4"/>
      <c r="U28" s="4"/>
      <c r="V28" s="4"/>
    </row>
    <row r="29" spans="2:14" ht="12.75" customHeight="1">
      <c r="B29" s="124" t="s">
        <v>33</v>
      </c>
      <c r="C29" s="125"/>
      <c r="D29" s="126"/>
      <c r="E29" s="127" t="s">
        <v>34</v>
      </c>
      <c r="F29" s="127"/>
      <c r="G29" s="127"/>
      <c r="H29" s="127"/>
      <c r="I29" s="127"/>
      <c r="J29" s="127"/>
      <c r="K29" s="127"/>
      <c r="L29" s="127"/>
      <c r="N29" s="128"/>
    </row>
    <row r="30" spans="2:4" ht="12.75">
      <c r="B30" s="129">
        <v>5000000</v>
      </c>
      <c r="C30" s="130" t="s">
        <v>35</v>
      </c>
      <c r="D30" s="36"/>
    </row>
    <row r="32" spans="2:10" ht="12.75">
      <c r="B32" s="101" t="s">
        <v>36</v>
      </c>
      <c r="C32" s="101"/>
      <c r="D32" s="101"/>
      <c r="E32" s="101"/>
      <c r="F32" s="101"/>
      <c r="G32" s="101"/>
      <c r="H32" s="101"/>
      <c r="I32" s="101"/>
      <c r="J32" s="101"/>
    </row>
    <row r="33" spans="2:10" ht="12.75">
      <c r="B33" s="131"/>
      <c r="C33" s="131"/>
      <c r="D33" s="131"/>
      <c r="E33" s="131"/>
      <c r="F33" s="131"/>
      <c r="G33" s="131"/>
      <c r="H33" s="131"/>
      <c r="I33" s="131"/>
      <c r="J33" s="131"/>
    </row>
    <row r="34" spans="2:10" ht="12.75">
      <c r="B34" s="132" t="s">
        <v>37</v>
      </c>
      <c r="C34" s="133" t="s">
        <v>38</v>
      </c>
      <c r="F34" s="132" t="s">
        <v>39</v>
      </c>
      <c r="G34" s="133" t="s">
        <v>40</v>
      </c>
      <c r="H34" s="132" t="s">
        <v>41</v>
      </c>
      <c r="J34" s="133" t="s">
        <v>42</v>
      </c>
    </row>
    <row r="35" spans="2:10" ht="12.75">
      <c r="B35" s="134">
        <v>65000000</v>
      </c>
      <c r="C35" s="135">
        <v>0.01</v>
      </c>
      <c r="F35" s="136">
        <f>B35*C35*I8</f>
        <v>162500</v>
      </c>
      <c r="G35" s="137">
        <v>0.65</v>
      </c>
      <c r="H35" s="136">
        <f>B35*C35*(G35-30%)</f>
        <v>227500.00000000003</v>
      </c>
      <c r="J35" s="138">
        <f>H35+F35</f>
        <v>390000</v>
      </c>
    </row>
  </sheetData>
  <sheetProtection sheet="1"/>
  <mergeCells count="13">
    <mergeCell ref="F1:J1"/>
    <mergeCell ref="F3:J3"/>
    <mergeCell ref="E4:L4"/>
    <mergeCell ref="E5:L5"/>
    <mergeCell ref="E6:G6"/>
    <mergeCell ref="S6:U6"/>
    <mergeCell ref="W6:Y6"/>
    <mergeCell ref="E16:L16"/>
    <mergeCell ref="F19:J19"/>
    <mergeCell ref="B22:L22"/>
    <mergeCell ref="C27:I27"/>
    <mergeCell ref="E29:L29"/>
    <mergeCell ref="B32:J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0"/>
  <sheetViews>
    <sheetView showGridLines="0" workbookViewId="0" topLeftCell="A5">
      <selection activeCell="B30" sqref="B30"/>
    </sheetView>
  </sheetViews>
  <sheetFormatPr defaultColWidth="9.140625" defaultRowHeight="12.75"/>
  <cols>
    <col min="1" max="1" width="13.00390625" style="0" customWidth="1"/>
    <col min="2" max="3" width="16.7109375" style="0" customWidth="1"/>
    <col min="4" max="4" width="2.7109375" style="1" customWidth="1"/>
    <col min="5" max="5" width="11.140625" style="0" customWidth="1"/>
    <col min="6" max="8" width="16.7109375" style="0" customWidth="1"/>
  </cols>
  <sheetData>
    <row r="3" spans="6:8" ht="12.75">
      <c r="F3" s="139" t="s">
        <v>43</v>
      </c>
      <c r="G3" s="139"/>
      <c r="H3" s="139"/>
    </row>
    <row r="5" spans="2:8" ht="12.75">
      <c r="B5" s="6"/>
      <c r="C5" s="6"/>
      <c r="D5" s="6"/>
      <c r="E5" s="140" t="s">
        <v>44</v>
      </c>
      <c r="F5" s="140"/>
      <c r="G5" s="140"/>
      <c r="H5" s="140"/>
    </row>
    <row r="6" spans="2:8" ht="12.75">
      <c r="B6" s="1"/>
      <c r="C6" s="1"/>
      <c r="E6" s="141"/>
      <c r="F6" s="142" t="s">
        <v>45</v>
      </c>
      <c r="G6" s="142"/>
      <c r="H6" s="9">
        <f>Commissions!H6</f>
        <v>0.01</v>
      </c>
    </row>
    <row r="7" spans="1:8" ht="39.75" customHeight="1">
      <c r="A7" s="13" t="s">
        <v>46</v>
      </c>
      <c r="B7" s="13" t="s">
        <v>47</v>
      </c>
      <c r="C7" s="13"/>
      <c r="D7" s="14"/>
      <c r="E7" s="15" t="s">
        <v>48</v>
      </c>
      <c r="F7" s="16"/>
      <c r="G7" s="17" t="s">
        <v>49</v>
      </c>
      <c r="H7" s="18" t="s">
        <v>13</v>
      </c>
    </row>
    <row r="8" spans="1:8" ht="12.75">
      <c r="A8" s="24">
        <v>5000000</v>
      </c>
      <c r="B8" s="24">
        <f>IF(B26&gt;=A8,A8,B26)</f>
        <v>2100000</v>
      </c>
      <c r="C8" s="24">
        <f>IF(B8&gt;0,B8,0)</f>
        <v>2100000</v>
      </c>
      <c r="D8" s="25"/>
      <c r="E8" s="143">
        <f>(C8*H$6*0.3)</f>
        <v>6300</v>
      </c>
      <c r="F8" s="144"/>
      <c r="G8" s="145">
        <v>0</v>
      </c>
      <c r="H8" s="146">
        <v>0</v>
      </c>
    </row>
    <row r="9" spans="1:8" ht="12.75">
      <c r="A9" s="35">
        <f>A8+B$30</f>
        <v>10000000</v>
      </c>
      <c r="B9" s="35">
        <f>IF(B$26&gt;=A9,A9-A8,IF(B$26&lt;=A8,0,B$26-A8))</f>
        <v>0</v>
      </c>
      <c r="C9" s="24">
        <f>IF(B9&gt;0,B9,0)</f>
        <v>0</v>
      </c>
      <c r="D9" s="40"/>
      <c r="E9" s="143">
        <f>(C9*H$6*0.3)</f>
        <v>0</v>
      </c>
      <c r="F9" s="42"/>
      <c r="G9" s="43">
        <v>0.1</v>
      </c>
      <c r="H9" s="147">
        <f>C9*H$6*G9</f>
        <v>0</v>
      </c>
    </row>
    <row r="10" spans="1:8" ht="12.75">
      <c r="A10" s="35">
        <f>A9+B$30</f>
        <v>15000000</v>
      </c>
      <c r="B10" s="35">
        <f>IF(B$26&gt;=A10,A10-A9,IF(B$26&lt;=A9,0,B$26-A9))</f>
        <v>0</v>
      </c>
      <c r="C10" s="24">
        <f>IF(B10&gt;0,B10,0)</f>
        <v>0</v>
      </c>
      <c r="D10" s="40"/>
      <c r="E10" s="143">
        <f>(C10*H$6*0.3)</f>
        <v>0</v>
      </c>
      <c r="F10" s="53"/>
      <c r="G10" s="54">
        <f>G9*2</f>
        <v>0.2</v>
      </c>
      <c r="H10" s="147">
        <f>C10*H$6*G10</f>
        <v>0</v>
      </c>
    </row>
    <row r="11" spans="1:8" ht="12.75">
      <c r="A11" s="35">
        <f>A10+B$30</f>
        <v>20000000</v>
      </c>
      <c r="B11" s="35">
        <f>IF(B$26&gt;=A11,A11-A10,IF(B$26&lt;=A10,0,B$26-A10))</f>
        <v>0</v>
      </c>
      <c r="C11" s="24">
        <f>IF(B11&gt;0,B11,0)</f>
        <v>0</v>
      </c>
      <c r="D11" s="40"/>
      <c r="E11" s="143">
        <f>(C11*H$6*0.3)</f>
        <v>0</v>
      </c>
      <c r="F11" s="53"/>
      <c r="G11" s="58">
        <f>G9*3</f>
        <v>0.30000000000000004</v>
      </c>
      <c r="H11" s="147">
        <f>C11*H$6*G11</f>
        <v>0</v>
      </c>
    </row>
    <row r="12" spans="1:8" ht="12.75">
      <c r="A12" s="35">
        <f>A11+B$30</f>
        <v>25000000</v>
      </c>
      <c r="B12" s="35">
        <f>IF(B$26&gt;=A12,A12-A11,IF(B$26&lt;=A11,0,B$26-A11))</f>
        <v>0</v>
      </c>
      <c r="C12" s="24">
        <f>IF(B12&gt;0,B12,0)</f>
        <v>0</v>
      </c>
      <c r="D12" s="40"/>
      <c r="E12" s="143">
        <f>(C12*H$6*0.3)</f>
        <v>0</v>
      </c>
      <c r="F12" s="53"/>
      <c r="G12" s="58">
        <f>G9*4</f>
        <v>0.4</v>
      </c>
      <c r="H12" s="147">
        <f>C12*H$6*G12</f>
        <v>0</v>
      </c>
    </row>
    <row r="13" spans="1:8" ht="12.75">
      <c r="A13" s="40">
        <f>A12+B30</f>
        <v>30000000</v>
      </c>
      <c r="B13" s="40">
        <f>IF(B$26&gt;=A13,A13-A12,IF(B$26&lt;=A12,0,B$26-A12))</f>
        <v>0</v>
      </c>
      <c r="C13" s="24">
        <f>IF(B13&gt;0,B13,0)</f>
        <v>0</v>
      </c>
      <c r="D13" s="35"/>
      <c r="E13" s="143">
        <f>(C13*H$6*0.3)</f>
        <v>0</v>
      </c>
      <c r="F13" s="61"/>
      <c r="G13" s="62">
        <f>G9*5</f>
        <v>0.5</v>
      </c>
      <c r="H13" s="121">
        <f>C13*H$6*G13</f>
        <v>0</v>
      </c>
    </row>
    <row r="14" spans="1:8" ht="12.75">
      <c r="A14" s="72">
        <f>Commissions!B14</f>
        <v>37500000</v>
      </c>
      <c r="B14" s="72">
        <f>IF(B$26&gt;=A14,A14-A13,IF(B$26&lt;=A13,0,B$26-A13))</f>
        <v>0</v>
      </c>
      <c r="C14" s="24">
        <f>IF(B14&gt;0,B14,0)</f>
        <v>0</v>
      </c>
      <c r="D14" s="60"/>
      <c r="E14" s="148">
        <f>(C14*H$6*0.3)</f>
        <v>0</v>
      </c>
      <c r="F14" s="73"/>
      <c r="G14" s="149">
        <f>G13</f>
        <v>0.5</v>
      </c>
      <c r="H14" s="88">
        <f>C14*H$6*G14</f>
        <v>0</v>
      </c>
    </row>
    <row r="16" ht="12.75">
      <c r="B16" t="s">
        <v>50</v>
      </c>
    </row>
    <row r="17" spans="1:8" ht="12.75">
      <c r="A17" s="72">
        <f>Commissions!B17</f>
        <v>50000000</v>
      </c>
      <c r="B17" s="72">
        <f>IF(B$26&gt;=A17,A17-A14,IF(B$26&lt;=A$14,0,B$26-A$14))</f>
        <v>0</v>
      </c>
      <c r="C17" s="24">
        <f>IF(B17&gt;0,B17,0)</f>
        <v>0</v>
      </c>
      <c r="D17" s="40"/>
      <c r="E17" s="148">
        <f>(C17*H$6*0.3)</f>
        <v>0</v>
      </c>
      <c r="F17" s="73"/>
      <c r="G17" s="149">
        <f>G$14</f>
        <v>0.5</v>
      </c>
      <c r="H17" s="88">
        <f>C17*H$6*G17</f>
        <v>0</v>
      </c>
    </row>
    <row r="18" spans="1:8" ht="12.75">
      <c r="A18" s="72">
        <f>B26-A17</f>
        <v>-47900000</v>
      </c>
      <c r="B18" s="72">
        <f>IF(B$26&gt;=A18,A18-A15,IF(B$26&lt;=A$14,0,B$26-A$14))</f>
        <v>-47900000</v>
      </c>
      <c r="C18" s="24">
        <f>IF(B18&gt;0,B18,0)</f>
        <v>0</v>
      </c>
      <c r="D18" s="40"/>
      <c r="E18" s="148">
        <f>(C18*H$6*0.3)</f>
        <v>0</v>
      </c>
      <c r="F18" s="73"/>
      <c r="G18" s="149">
        <f>G$14</f>
        <v>0.5</v>
      </c>
      <c r="H18" s="88">
        <f>C18*H$6*G18</f>
        <v>0</v>
      </c>
    </row>
    <row r="19" spans="1:8" ht="12.75">
      <c r="A19" s="72"/>
      <c r="B19" s="72"/>
      <c r="C19" s="24"/>
      <c r="D19" s="40"/>
      <c r="E19" s="148"/>
      <c r="F19" s="73"/>
      <c r="G19" s="149"/>
      <c r="H19" s="88"/>
    </row>
    <row r="20" spans="1:8" ht="12.75">
      <c r="A20" s="36"/>
      <c r="B20" s="36"/>
      <c r="C20" s="111"/>
      <c r="D20" s="36"/>
      <c r="E20" s="150">
        <f>SUM(E8:E17)</f>
        <v>6300</v>
      </c>
      <c r="F20" s="90"/>
      <c r="G20" s="91"/>
      <c r="H20" s="151">
        <f>H17+H14+H13+H12+H11+H10+H9+H18</f>
        <v>0</v>
      </c>
    </row>
    <row r="21" spans="2:8" ht="12.75">
      <c r="B21" s="36"/>
      <c r="C21" s="36"/>
      <c r="D21" s="36"/>
      <c r="E21" s="36"/>
      <c r="F21" s="90"/>
      <c r="G21" s="91"/>
      <c r="H21" s="63"/>
    </row>
    <row r="22" spans="2:8" ht="12.75">
      <c r="B22" s="36"/>
      <c r="C22" s="36"/>
      <c r="D22" s="36"/>
      <c r="E22" s="36"/>
      <c r="F22" s="97" t="s">
        <v>51</v>
      </c>
      <c r="G22" s="97"/>
      <c r="H22" s="97"/>
    </row>
    <row r="23" spans="2:8" ht="12.75">
      <c r="B23" s="72"/>
      <c r="C23" s="24">
        <f>IF(B26&lt;=A17,0,B26-A17)</f>
        <v>0</v>
      </c>
      <c r="D23" s="40"/>
      <c r="E23" s="148">
        <f>(C23*H$6*0.3)</f>
        <v>0</v>
      </c>
      <c r="F23" s="73"/>
      <c r="G23" s="74"/>
      <c r="H23" s="88">
        <f>IF(B26&gt;A17,(B26*H6*0.65)-E23,0)</f>
        <v>0</v>
      </c>
    </row>
    <row r="24" spans="2:8" ht="12.75">
      <c r="B24" s="36"/>
      <c r="C24" s="36"/>
      <c r="D24" s="36"/>
      <c r="E24" s="36"/>
      <c r="F24" s="90"/>
      <c r="G24" s="91"/>
      <c r="H24" s="63"/>
    </row>
    <row r="25" spans="2:8" ht="12.75">
      <c r="B25" s="152" t="s">
        <v>52</v>
      </c>
      <c r="C25" s="153"/>
      <c r="E25" s="154" t="s">
        <v>53</v>
      </c>
      <c r="G25" s="155" t="s">
        <v>54</v>
      </c>
      <c r="H25" s="154" t="s">
        <v>55</v>
      </c>
    </row>
    <row r="26" spans="2:8" ht="12.75">
      <c r="B26" s="156">
        <f>Commissions!B23</f>
        <v>2100000</v>
      </c>
      <c r="C26" s="157"/>
      <c r="E26" s="148">
        <f>(B26*H$6*Commissions!I8)</f>
        <v>5250</v>
      </c>
      <c r="G26" s="158">
        <f>H26+E26</f>
        <v>5250</v>
      </c>
      <c r="H26" s="72">
        <f>H20</f>
        <v>0</v>
      </c>
    </row>
    <row r="28" spans="2:4" ht="12.75">
      <c r="B28" s="159" t="s">
        <v>56</v>
      </c>
      <c r="C28" s="126"/>
      <c r="D28" s="126"/>
    </row>
    <row r="29" spans="2:4" ht="12.75">
      <c r="B29" s="160" t="s">
        <v>57</v>
      </c>
      <c r="C29" s="126"/>
      <c r="D29" s="126"/>
    </row>
    <row r="30" spans="2:4" ht="12.75">
      <c r="B30" s="161">
        <v>5000000</v>
      </c>
      <c r="C30" s="111"/>
      <c r="D30" s="36"/>
    </row>
  </sheetData>
  <sheetProtection selectLockedCells="1" selectUnlockedCells="1"/>
  <mergeCells count="4">
    <mergeCell ref="F3:H3"/>
    <mergeCell ref="E5:H5"/>
    <mergeCell ref="F6:G6"/>
    <mergeCell ref="F22:H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Olen Soifer</cp:lastModifiedBy>
  <dcterms:modified xsi:type="dcterms:W3CDTF">2012-08-05T02:38:43Z</dcterms:modified>
  <cp:category/>
  <cp:version/>
  <cp:contentType/>
  <cp:contentStatus/>
  <cp:revision>25</cp:revision>
</cp:coreProperties>
</file>