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<sst xmlns="http://schemas.openxmlformats.org/spreadsheetml/2006/main" count="85" uniqueCount="80">
  <si>
    <t>Real Estate Buy, Rehab/Hold, Sell Profit/Loss Calculator</t>
  </si>
  <si>
    <t>Copyright 2010, Quest Funding Services</t>
  </si>
  <si>
    <t>Buyer/Borrower:</t>
  </si>
  <si>
    <t>Property Address:</t>
  </si>
  <si>
    <t>Purchase Price</t>
  </si>
  <si>
    <t>Cash Down Payment</t>
  </si>
  <si>
    <t>Returns Calculations:</t>
  </si>
  <si>
    <t>Wanted</t>
  </si>
  <si>
    <t>Estimated/Probable</t>
  </si>
  <si>
    <t>After Rehab Value</t>
  </si>
  <si>
    <t>Minimum $ Return:</t>
  </si>
  <si>
    <t>Minimum % Return:</t>
  </si>
  <si>
    <t xml:space="preserve">Purchase Costs </t>
  </si>
  <si>
    <t>3rd Party Costs</t>
  </si>
  <si>
    <t>Appraisal</t>
  </si>
  <si>
    <t>Environmental</t>
  </si>
  <si>
    <t>Home Inspection</t>
  </si>
  <si>
    <t>Survey</t>
  </si>
  <si>
    <t>Other</t>
  </si>
  <si>
    <t>Prepaid Insurance</t>
  </si>
  <si>
    <t>Title Charges</t>
  </si>
  <si>
    <t>Searches/Exam</t>
  </si>
  <si>
    <t>Title Insurance</t>
  </si>
  <si>
    <t>Settlement Fee</t>
  </si>
  <si>
    <t>Escrows</t>
  </si>
  <si>
    <t>Tax</t>
  </si>
  <si>
    <t>Insurance</t>
  </si>
  <si>
    <t xml:space="preserve">RE Insurance / month </t>
  </si>
  <si>
    <t>Months Interest</t>
  </si>
  <si>
    <t>Loan Application</t>
  </si>
  <si>
    <t>Application Fee</t>
  </si>
  <si>
    <t>Document Prep</t>
  </si>
  <si>
    <t>Other Costs</t>
  </si>
  <si>
    <t>TOTAL COSTS:</t>
  </si>
  <si>
    <t>Base Mortgage Amount</t>
  </si>
  <si>
    <t>Points</t>
  </si>
  <si>
    <t>Points on Costs</t>
  </si>
  <si>
    <t>Rehab Costs Borrowed</t>
  </si>
  <si>
    <t>Adjusted Mortgage</t>
  </si>
  <si>
    <t>Calculated LTV</t>
  </si>
  <si>
    <t xml:space="preserve"> Max LTV</t>
  </si>
  <si>
    <t>Closing Cash Needed:</t>
  </si>
  <si>
    <t>Mortgage Information</t>
  </si>
  <si>
    <t>Total Interest Paid</t>
  </si>
  <si>
    <t>Amount</t>
  </si>
  <si>
    <t>Total Principal Paid</t>
  </si>
  <si>
    <t>Rate</t>
  </si>
  <si>
    <t>Rehab Costs from Pocket</t>
  </si>
  <si>
    <t>Amortization Period, Yr</t>
  </si>
  <si>
    <t>Years</t>
  </si>
  <si>
    <t>Repayment Due/Pd In (Mon)</t>
  </si>
  <si>
    <t>Months</t>
  </si>
  <si>
    <t>Utilities</t>
  </si>
  <si>
    <t>Interest Only ? (Y or  N)</t>
  </si>
  <si>
    <t>Y</t>
  </si>
  <si>
    <t>Monthly Payment</t>
  </si>
  <si>
    <t>Ttl RE Taxes Owed</t>
  </si>
  <si>
    <t>Per Mo</t>
  </si>
  <si>
    <t>Paid from Pocket</t>
  </si>
  <si>
    <t>Escrow from Above</t>
  </si>
  <si>
    <t>Due or (Returned)</t>
  </si>
  <si>
    <t>Insurance Owed or (Returned)</t>
  </si>
  <si>
    <t>Real Estate Sales Commission</t>
  </si>
  <si>
    <t>Sales Price</t>
  </si>
  <si>
    <t>Sales Commission (%)</t>
  </si>
  <si>
    <t>Misc Carrying Costs</t>
  </si>
  <si>
    <t>Misc Carrying Costs or Income (Enter detail and amount):</t>
  </si>
  <si>
    <t>RE Transfer Fee or Tax</t>
  </si>
  <si>
    <t>Mortgage Payoff</t>
  </si>
  <si>
    <t>Income Fr Property (Enter as Negative)</t>
  </si>
  <si>
    <t>TOTAL</t>
  </si>
  <si>
    <t>Profit (LOSS)</t>
  </si>
  <si>
    <t>Notes:</t>
  </si>
  <si>
    <t>Cash on Cash Return</t>
  </si>
  <si>
    <t>Personal Go/NoGo Conclusion 1:</t>
  </si>
  <si>
    <t>Based on Cash Return Wanted</t>
  </si>
  <si>
    <t>Personal Go/NoGo Conclusion 2:</t>
  </si>
  <si>
    <t>Based on % of Sale Price Wanted</t>
  </si>
  <si>
    <t>Finance Closing Costs</t>
  </si>
  <si>
    <t>Pay Closing Costs from Pocket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</si>
</sst>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\$* #,##0.00_);_(\$* \(#,##0.00\);_(\$* \-??_);_(@_)"/>
    <numFmt numFmtId="166" formatCode="_(\$* #,##0_);_(\$* \(#,##0\);_(\$* \-??_);_(@_)"/>
    <numFmt numFmtId="167" formatCode="\$#,##0_);[Red]&quot;($&quot;#,##0\)"/>
    <numFmt numFmtId="168" formatCode="0.0%"/>
    <numFmt numFmtId="169" formatCode="#,##0.00;[Red]\-#,##0.00"/>
    <numFmt numFmtId="170" formatCode="_(* #,##0_);_(* \(#,##0\);_(* \-??_);_(@_)"/>
    <numFmt numFmtId="171" formatCode="0.000%"/>
    <numFmt numFmtId="172" formatCode="\$#,##0.00_);[Red]&quot;($&quot;#,##0.00\)"/>
    <numFmt numFmtId="173" formatCode="[$$-409]#,##0.00;[Red]\-[$$-409]#,##0.00"/>
  </numFmts>
  <fonts count="14"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  <font>
      <b/>
      <i/>
      <sz val="1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5" fillId="2" borderId="1" xfId="15" applyNumberFormat="1" applyFont="1" applyFill="1" applyBorder="1" applyAlignment="1" applyProtection="1">
      <alignment/>
      <protection locked="0"/>
    </xf>
    <xf numFmtId="2" fontId="0" fillId="0" borderId="0" xfId="15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horizontal="center"/>
    </xf>
    <xf numFmtId="166" fontId="5" fillId="2" borderId="2" xfId="17" applyNumberFormat="1" applyFont="1" applyFill="1" applyBorder="1" applyAlignment="1" applyProtection="1">
      <alignment/>
      <protection locked="0"/>
    </xf>
    <xf numFmtId="167" fontId="5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8" fontId="5" fillId="2" borderId="1" xfId="19" applyNumberFormat="1" applyFont="1" applyFill="1" applyBorder="1" applyAlignment="1" applyProtection="1">
      <alignment/>
      <protection locked="0"/>
    </xf>
    <xf numFmtId="168" fontId="5" fillId="0" borderId="1" xfId="19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2" borderId="1" xfId="15" applyNumberFormat="1" applyFont="1" applyFill="1" applyBorder="1" applyAlignment="1" applyProtection="1">
      <alignment/>
      <protection locked="0"/>
    </xf>
    <xf numFmtId="164" fontId="0" fillId="0" borderId="0" xfId="15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left"/>
    </xf>
    <xf numFmtId="164" fontId="0" fillId="0" borderId="0" xfId="15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3" borderId="1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2" fontId="0" fillId="0" borderId="0" xfId="15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0" fillId="2" borderId="1" xfId="15" applyNumberFormat="1" applyFont="1" applyFill="1" applyBorder="1" applyAlignment="1" applyProtection="1">
      <alignment/>
      <protection locked="0"/>
    </xf>
    <xf numFmtId="2" fontId="0" fillId="2" borderId="4" xfId="15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5" fillId="0" borderId="0" xfId="15" applyNumberFormat="1" applyFont="1" applyFill="1" applyBorder="1" applyAlignment="1" applyProtection="1">
      <alignment/>
      <protection/>
    </xf>
    <xf numFmtId="40" fontId="5" fillId="0" borderId="1" xfId="15" applyNumberFormat="1" applyFont="1" applyFill="1" applyBorder="1" applyAlignment="1" applyProtection="1">
      <alignment/>
      <protection/>
    </xf>
    <xf numFmtId="9" fontId="0" fillId="2" borderId="1" xfId="19" applyFont="1" applyFill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40" fontId="5" fillId="0" borderId="1" xfId="15" applyNumberFormat="1" applyFont="1" applyFill="1" applyBorder="1" applyAlignment="1" applyProtection="1">
      <alignment/>
      <protection locked="0"/>
    </xf>
    <xf numFmtId="40" fontId="0" fillId="0" borderId="1" xfId="15" applyNumberFormat="1" applyFont="1" applyFill="1" applyBorder="1" applyAlignment="1" applyProtection="1">
      <alignment/>
      <protection/>
    </xf>
    <xf numFmtId="2" fontId="0" fillId="0" borderId="5" xfId="15" applyNumberFormat="1" applyFont="1" applyFill="1" applyBorder="1" applyAlignment="1" applyProtection="1">
      <alignment/>
      <protection/>
    </xf>
    <xf numFmtId="169" fontId="0" fillId="3" borderId="1" xfId="15" applyNumberFormat="1" applyFont="1" applyFill="1" applyBorder="1" applyAlignment="1" applyProtection="1">
      <alignment/>
      <protection/>
    </xf>
    <xf numFmtId="4" fontId="0" fillId="0" borderId="4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9" fontId="0" fillId="0" borderId="9" xfId="19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9" fontId="0" fillId="2" borderId="11" xfId="19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2" fontId="7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8" fillId="0" borderId="16" xfId="0" applyFont="1" applyBorder="1" applyAlignment="1">
      <alignment/>
    </xf>
    <xf numFmtId="0" fontId="9" fillId="0" borderId="5" xfId="0" applyFont="1" applyBorder="1" applyAlignment="1">
      <alignment/>
    </xf>
    <xf numFmtId="4" fontId="8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Border="1" applyAlignment="1">
      <alignment/>
    </xf>
    <xf numFmtId="17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2" fontId="0" fillId="0" borderId="3" xfId="0" applyNumberFormat="1" applyBorder="1" applyAlignment="1">
      <alignment/>
    </xf>
    <xf numFmtId="171" fontId="0" fillId="0" borderId="24" xfId="19" applyNumberFormat="1" applyFont="1" applyFill="1" applyBorder="1" applyAlignment="1" applyProtection="1">
      <alignment/>
      <protection/>
    </xf>
    <xf numFmtId="4" fontId="0" fillId="3" borderId="3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3" borderId="3" xfId="0" applyNumberFormat="1" applyFill="1" applyBorder="1" applyAlignment="1" applyProtection="1">
      <alignment/>
      <protection locked="0"/>
    </xf>
    <xf numFmtId="172" fontId="0" fillId="0" borderId="25" xfId="0" applyNumberFormat="1" applyBorder="1" applyAlignment="1">
      <alignment/>
    </xf>
    <xf numFmtId="0" fontId="5" fillId="0" borderId="22" xfId="0" applyFont="1" applyBorder="1" applyAlignment="1">
      <alignment/>
    </xf>
    <xf numFmtId="173" fontId="0" fillId="0" borderId="22" xfId="0" applyNumberForma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27" xfId="0" applyBorder="1" applyAlignment="1">
      <alignment/>
    </xf>
    <xf numFmtId="173" fontId="5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169" fontId="0" fillId="0" borderId="3" xfId="0" applyNumberFormat="1" applyBorder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3" xfId="0" applyNumberFormat="1" applyFill="1" applyBorder="1" applyAlignment="1" applyProtection="1">
      <alignment/>
      <protection/>
    </xf>
    <xf numFmtId="0" fontId="5" fillId="0" borderId="29" xfId="0" applyFont="1" applyBorder="1" applyAlignment="1">
      <alignment horizontal="right"/>
    </xf>
    <xf numFmtId="0" fontId="0" fillId="0" borderId="30" xfId="0" applyBorder="1" applyAlignment="1">
      <alignment/>
    </xf>
    <xf numFmtId="3" fontId="0" fillId="3" borderId="31" xfId="0" applyNumberFormat="1" applyFill="1" applyBorder="1" applyAlignment="1" applyProtection="1">
      <alignment/>
      <protection locked="0"/>
    </xf>
    <xf numFmtId="0" fontId="5" fillId="0" borderId="32" xfId="0" applyFont="1" applyBorder="1" applyAlignment="1">
      <alignment horizontal="right"/>
    </xf>
    <xf numFmtId="0" fontId="0" fillId="0" borderId="33" xfId="0" applyBorder="1" applyAlignment="1">
      <alignment/>
    </xf>
    <xf numFmtId="10" fontId="0" fillId="3" borderId="34" xfId="0" applyNumberFormat="1" applyFill="1" applyBorder="1" applyAlignment="1" applyProtection="1">
      <alignment/>
      <protection locked="0"/>
    </xf>
    <xf numFmtId="0" fontId="5" fillId="0" borderId="29" xfId="0" applyFont="1" applyBorder="1" applyAlignment="1">
      <alignment/>
    </xf>
    <xf numFmtId="0" fontId="0" fillId="0" borderId="35" xfId="0" applyBorder="1" applyAlignment="1">
      <alignment/>
    </xf>
    <xf numFmtId="0" fontId="0" fillId="2" borderId="21" xfId="0" applyFill="1" applyBorder="1" applyAlignment="1" applyProtection="1">
      <alignment/>
      <protection locked="0"/>
    </xf>
    <xf numFmtId="0" fontId="0" fillId="2" borderId="36" xfId="0" applyFill="1" applyBorder="1" applyAlignment="1">
      <alignment/>
    </xf>
    <xf numFmtId="0" fontId="0" fillId="2" borderId="37" xfId="0" applyFill="1" applyBorder="1" applyAlignment="1" applyProtection="1">
      <alignment/>
      <protection locked="0"/>
    </xf>
    <xf numFmtId="0" fontId="0" fillId="0" borderId="32" xfId="0" applyFill="1" applyBorder="1" applyAlignment="1">
      <alignment/>
    </xf>
    <xf numFmtId="0" fontId="0" fillId="0" borderId="33" xfId="0" applyFont="1" applyFill="1" applyBorder="1" applyAlignment="1">
      <alignment/>
    </xf>
    <xf numFmtId="165" fontId="0" fillId="0" borderId="38" xfId="17" applyFill="1" applyBorder="1" applyAlignment="1" applyProtection="1">
      <alignment/>
      <protection/>
    </xf>
    <xf numFmtId="0" fontId="10" fillId="0" borderId="0" xfId="0" applyFont="1" applyAlignment="1">
      <alignment horizontal="right"/>
    </xf>
    <xf numFmtId="167" fontId="10" fillId="0" borderId="3" xfId="0" applyNumberFormat="1" applyFont="1" applyBorder="1" applyAlignment="1">
      <alignment/>
    </xf>
    <xf numFmtId="167" fontId="10" fillId="0" borderId="0" xfId="0" applyNumberFormat="1" applyFont="1" applyBorder="1" applyAlignment="1">
      <alignment/>
    </xf>
    <xf numFmtId="168" fontId="10" fillId="0" borderId="1" xfId="19" applyNumberFormat="1" applyFont="1" applyFill="1" applyBorder="1" applyAlignment="1" applyProtection="1">
      <alignment/>
      <protection/>
    </xf>
    <xf numFmtId="2" fontId="11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5" fillId="0" borderId="2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0FFC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showGridLines="0" tabSelected="1" workbookViewId="0" topLeftCell="A35">
      <selection activeCell="H46" sqref="H46"/>
    </sheetView>
  </sheetViews>
  <sheetFormatPr defaultColWidth="9.140625" defaultRowHeight="12.75"/>
  <cols>
    <col min="1" max="1" width="9.7109375" style="0" customWidth="1"/>
    <col min="2" max="2" width="16.7109375" style="0" customWidth="1"/>
    <col min="3" max="3" width="2.7109375" style="0" customWidth="1"/>
    <col min="4" max="4" width="15.57421875" style="1" customWidth="1"/>
    <col min="5" max="5" width="3.7109375" style="0" customWidth="1"/>
    <col min="6" max="6" width="26.7109375" style="0" customWidth="1"/>
    <col min="7" max="7" width="12.7109375" style="0" customWidth="1"/>
    <col min="8" max="8" width="19.00390625" style="0" customWidth="1"/>
  </cols>
  <sheetData>
    <row r="1" ht="18">
      <c r="A1" s="2" t="s">
        <v>0</v>
      </c>
    </row>
    <row r="2" ht="12.75">
      <c r="A2" s="3" t="s">
        <v>1</v>
      </c>
    </row>
    <row r="4" spans="1:6" ht="18">
      <c r="A4" s="4" t="s">
        <v>2</v>
      </c>
      <c r="D4" s="101"/>
      <c r="E4" s="101"/>
      <c r="F4" s="101"/>
    </row>
    <row r="5" spans="1:6" ht="18">
      <c r="A5" s="4" t="s">
        <v>3</v>
      </c>
      <c r="D5" s="102"/>
      <c r="E5" s="102"/>
      <c r="F5" s="102"/>
    </row>
    <row r="7" spans="1:4" ht="12.75">
      <c r="A7" s="5" t="s">
        <v>4</v>
      </c>
      <c r="D7" s="6">
        <v>65000</v>
      </c>
    </row>
    <row r="8" spans="1:4" ht="12.75">
      <c r="A8" s="5"/>
      <c r="D8" s="7"/>
    </row>
    <row r="9" spans="1:8" ht="12.75">
      <c r="A9" s="5" t="s">
        <v>5</v>
      </c>
      <c r="D9" s="6">
        <v>5000</v>
      </c>
      <c r="G9" s="103" t="s">
        <v>6</v>
      </c>
      <c r="H9" s="103"/>
    </row>
    <row r="10" spans="1:8" ht="12.75">
      <c r="A10" s="5"/>
      <c r="D10" s="7"/>
      <c r="G10" s="8" t="s">
        <v>7</v>
      </c>
      <c r="H10" s="8" t="s">
        <v>8</v>
      </c>
    </row>
    <row r="11" spans="1:9" ht="12.75">
      <c r="A11" s="5" t="s">
        <v>9</v>
      </c>
      <c r="D11" s="6">
        <v>140000</v>
      </c>
      <c r="F11" s="5" t="s">
        <v>10</v>
      </c>
      <c r="G11" s="9">
        <v>25000</v>
      </c>
      <c r="H11" s="10">
        <f>D80</f>
        <v>-12796.5</v>
      </c>
      <c r="I11" s="11" t="str">
        <f>D86</f>
        <v>NO GO!</v>
      </c>
    </row>
    <row r="12" spans="4:9" ht="12.75">
      <c r="D12" s="7"/>
      <c r="F12" s="5" t="s">
        <v>11</v>
      </c>
      <c r="G12" s="12">
        <v>0.25</v>
      </c>
      <c r="H12" s="13">
        <f>D80/H70</f>
        <v>-0.09843461538461538</v>
      </c>
      <c r="I12" s="11" t="str">
        <f>D87</f>
        <v>NO GO!</v>
      </c>
    </row>
    <row r="13" spans="1:4" ht="12.75">
      <c r="A13" s="5" t="s">
        <v>12</v>
      </c>
      <c r="D13" s="7"/>
    </row>
    <row r="14" spans="2:4" ht="12.75">
      <c r="B14" s="14" t="s">
        <v>13</v>
      </c>
      <c r="D14" s="7"/>
    </row>
    <row r="15" spans="2:4" ht="12.75">
      <c r="B15" s="15" t="s">
        <v>14</v>
      </c>
      <c r="D15" s="16">
        <v>350</v>
      </c>
    </row>
    <row r="16" spans="2:4" ht="12.75">
      <c r="B16" s="15" t="s">
        <v>15</v>
      </c>
      <c r="D16" s="16">
        <v>1000</v>
      </c>
    </row>
    <row r="17" spans="2:4" ht="12.75">
      <c r="B17" s="15" t="s">
        <v>16</v>
      </c>
      <c r="D17" s="16">
        <v>300</v>
      </c>
    </row>
    <row r="18" spans="2:4" ht="12.75">
      <c r="B18" s="15" t="s">
        <v>17</v>
      </c>
      <c r="D18" s="16">
        <v>400</v>
      </c>
    </row>
    <row r="19" spans="2:4" ht="12.75">
      <c r="B19" s="15" t="s">
        <v>18</v>
      </c>
      <c r="D19" s="16"/>
    </row>
    <row r="20" spans="2:4" ht="12.75">
      <c r="B20" s="15" t="s">
        <v>19</v>
      </c>
      <c r="D20" s="16">
        <v>1200</v>
      </c>
    </row>
    <row r="21" ht="12.75">
      <c r="D21" s="17"/>
    </row>
    <row r="22" spans="2:4" ht="12.75">
      <c r="B22" s="18" t="s">
        <v>20</v>
      </c>
      <c r="D22" s="17"/>
    </row>
    <row r="23" spans="2:4" ht="12.75">
      <c r="B23" s="15" t="s">
        <v>21</v>
      </c>
      <c r="D23" s="16">
        <v>250</v>
      </c>
    </row>
    <row r="24" spans="2:4" ht="12.75">
      <c r="B24" s="15" t="s">
        <v>22</v>
      </c>
      <c r="D24" s="16">
        <v>450</v>
      </c>
    </row>
    <row r="25" spans="2:4" ht="12.75">
      <c r="B25" s="15" t="s">
        <v>23</v>
      </c>
      <c r="D25" s="16">
        <v>175</v>
      </c>
    </row>
    <row r="26" spans="2:4" ht="12.75">
      <c r="B26" s="15" t="s">
        <v>18</v>
      </c>
      <c r="D26" s="16">
        <v>150</v>
      </c>
    </row>
    <row r="27" spans="2:4" ht="12.75">
      <c r="B27" s="15"/>
      <c r="D27" s="19"/>
    </row>
    <row r="28" spans="2:4" ht="12.75">
      <c r="B28" s="20" t="s">
        <v>24</v>
      </c>
      <c r="D28" s="19"/>
    </row>
    <row r="29" spans="2:4" ht="12.75">
      <c r="B29" s="15" t="s">
        <v>25</v>
      </c>
      <c r="D29" s="16">
        <v>240</v>
      </c>
    </row>
    <row r="30" spans="2:7" ht="12.75">
      <c r="B30" s="15" t="s">
        <v>26</v>
      </c>
      <c r="D30" s="16">
        <v>400</v>
      </c>
      <c r="F30" s="21" t="s">
        <v>27</v>
      </c>
      <c r="G30" s="22">
        <v>200</v>
      </c>
    </row>
    <row r="31" spans="1:4" ht="12.75">
      <c r="A31" s="23">
        <v>0</v>
      </c>
      <c r="B31" s="15" t="s">
        <v>28</v>
      </c>
      <c r="D31" s="16">
        <f>A31*H55*H57/12</f>
        <v>0</v>
      </c>
    </row>
    <row r="32" spans="2:4" ht="12.75">
      <c r="B32" s="15" t="s">
        <v>18</v>
      </c>
      <c r="D32" s="16"/>
    </row>
    <row r="33" spans="2:4" ht="12.75">
      <c r="B33" s="15"/>
      <c r="D33" s="24"/>
    </row>
    <row r="34" ht="12.75">
      <c r="B34" s="20" t="s">
        <v>29</v>
      </c>
    </row>
    <row r="35" spans="1:4" ht="12.75">
      <c r="A35" s="25"/>
      <c r="B35" s="15" t="s">
        <v>30</v>
      </c>
      <c r="D35" s="26">
        <v>595</v>
      </c>
    </row>
    <row r="36" spans="1:4" ht="12.75">
      <c r="A36" s="25"/>
      <c r="B36" s="15" t="s">
        <v>31</v>
      </c>
      <c r="D36" s="27">
        <v>500</v>
      </c>
    </row>
    <row r="37" spans="1:4" ht="12.75">
      <c r="A37" s="25"/>
      <c r="B37" s="15" t="s">
        <v>32</v>
      </c>
      <c r="D37" s="26"/>
    </row>
    <row r="38" spans="1:4" ht="12.75">
      <c r="A38" s="25"/>
      <c r="B38" s="28"/>
      <c r="C38" s="29"/>
      <c r="D38" s="30"/>
    </row>
    <row r="39" spans="1:4" ht="12.75">
      <c r="A39" s="25"/>
      <c r="B39" s="21" t="s">
        <v>33</v>
      </c>
      <c r="D39" s="31">
        <f>SUM(D14:D38)</f>
        <v>6010</v>
      </c>
    </row>
    <row r="40" spans="1:4" ht="12.75">
      <c r="A40" s="25"/>
      <c r="B40" s="21"/>
      <c r="D40" s="30"/>
    </row>
    <row r="41" spans="1:4" ht="12.75">
      <c r="A41" s="5" t="s">
        <v>34</v>
      </c>
      <c r="D41" s="31">
        <f>IF(Sheet2!A6=2,(D7-D9),(D7-D9+Sheet1!D39+D43))</f>
        <v>60000</v>
      </c>
    </row>
    <row r="42" spans="1:4" ht="12.75">
      <c r="A42" s="25"/>
      <c r="B42" s="21"/>
      <c r="D42" s="30"/>
    </row>
    <row r="43" spans="1:4" ht="12.75">
      <c r="A43" s="32">
        <v>0.02</v>
      </c>
      <c r="B43" s="33" t="s">
        <v>35</v>
      </c>
      <c r="D43" s="34">
        <f>(D7-D9)*A43</f>
        <v>1200</v>
      </c>
    </row>
    <row r="44" spans="2:4" ht="12.75">
      <c r="B44" s="15" t="s">
        <v>36</v>
      </c>
      <c r="D44" s="35">
        <f>IF(Sheet2!A6=1,Sheet1!A43*Sheet1!D39,0)</f>
        <v>0</v>
      </c>
    </row>
    <row r="45" spans="2:4" ht="12.75">
      <c r="B45" s="15"/>
      <c r="D45" s="36"/>
    </row>
    <row r="46" spans="2:4" ht="12.75">
      <c r="B46" s="21" t="s">
        <v>37</v>
      </c>
      <c r="D46" s="37">
        <v>50000</v>
      </c>
    </row>
    <row r="48" spans="2:4" ht="12.75">
      <c r="B48" s="5" t="s">
        <v>38</v>
      </c>
      <c r="D48" s="38">
        <f>D41+D43+D44+D46</f>
        <v>111200</v>
      </c>
    </row>
    <row r="49" spans="1:9" ht="12.75">
      <c r="A49" s="39"/>
      <c r="B49" s="40"/>
      <c r="C49" s="40"/>
      <c r="D49" s="41"/>
      <c r="E49" s="40"/>
      <c r="F49" s="40"/>
      <c r="G49" s="40"/>
      <c r="H49" s="40"/>
      <c r="I49" s="42"/>
    </row>
    <row r="50" spans="1:9" ht="12.75">
      <c r="A50" s="43">
        <f>(D48)/D11</f>
        <v>0.7942857142857143</v>
      </c>
      <c r="B50" s="44" t="s">
        <v>39</v>
      </c>
      <c r="C50" s="44"/>
      <c r="D50" s="7"/>
      <c r="E50" s="44"/>
      <c r="F50" s="44"/>
      <c r="G50" s="44"/>
      <c r="H50" s="44"/>
      <c r="I50" s="45"/>
    </row>
    <row r="51" spans="1:9" ht="12.75">
      <c r="A51" s="46">
        <v>0.7</v>
      </c>
      <c r="B51" s="47" t="s">
        <v>40</v>
      </c>
      <c r="C51" s="44"/>
      <c r="D51" s="48" t="str">
        <f>IF(D48&gt;(D11*A51),"Mortgage Amount Exceed Maximum Loan-to-Value","")</f>
        <v>Mortgage Amount Exceed Maximum Loan-to-Value</v>
      </c>
      <c r="E51" s="44"/>
      <c r="F51" s="44"/>
      <c r="G51" s="44"/>
      <c r="H51" s="44"/>
      <c r="I51" s="45"/>
    </row>
    <row r="52" spans="1:9" ht="12.75">
      <c r="A52" s="49"/>
      <c r="B52" s="50"/>
      <c r="C52" s="50"/>
      <c r="D52" s="51"/>
      <c r="E52" s="50"/>
      <c r="F52" s="50"/>
      <c r="G52" s="50"/>
      <c r="H52" s="50"/>
      <c r="I52" s="52"/>
    </row>
    <row r="53" spans="1:4" ht="15.75">
      <c r="A53" s="53" t="s">
        <v>41</v>
      </c>
      <c r="B53" s="54"/>
      <c r="C53" s="54"/>
      <c r="D53" s="55">
        <f>IF(Sheet2!A6=1,0,D9+D39+D43+D44-D46)</f>
        <v>-37790</v>
      </c>
    </row>
    <row r="54" spans="6:10" ht="12.75">
      <c r="F54" s="56" t="s">
        <v>42</v>
      </c>
      <c r="G54" s="57"/>
      <c r="H54" s="57"/>
      <c r="I54" s="57"/>
      <c r="J54" s="58"/>
    </row>
    <row r="55" spans="1:10" ht="12.75">
      <c r="A55" s="5" t="s">
        <v>43</v>
      </c>
      <c r="D55" s="59">
        <f>H62</f>
        <v>3266.5</v>
      </c>
      <c r="F55" s="60" t="s">
        <v>44</v>
      </c>
      <c r="G55" s="61"/>
      <c r="H55" s="62">
        <f>D48</f>
        <v>111200</v>
      </c>
      <c r="I55" s="61"/>
      <c r="J55" s="63"/>
    </row>
    <row r="56" spans="1:10" ht="12.75">
      <c r="A56" s="5" t="s">
        <v>45</v>
      </c>
      <c r="D56" s="64">
        <f>H63</f>
        <v>0</v>
      </c>
      <c r="F56" s="60"/>
      <c r="G56" s="61"/>
      <c r="H56" s="62"/>
      <c r="I56" s="61"/>
      <c r="J56" s="63"/>
    </row>
    <row r="57" spans="1:10" ht="12.75">
      <c r="A57" s="5"/>
      <c r="F57" s="60" t="s">
        <v>46</v>
      </c>
      <c r="G57" s="61"/>
      <c r="H57" s="65">
        <v>0.05875</v>
      </c>
      <c r="I57" s="61"/>
      <c r="J57" s="63"/>
    </row>
    <row r="58" spans="1:10" ht="12.75">
      <c r="A58" s="5" t="s">
        <v>47</v>
      </c>
      <c r="D58" s="66">
        <v>6500</v>
      </c>
      <c r="F58" s="60" t="s">
        <v>48</v>
      </c>
      <c r="G58" s="61"/>
      <c r="H58" s="67">
        <v>30</v>
      </c>
      <c r="I58" s="61" t="s">
        <v>49</v>
      </c>
      <c r="J58" s="63"/>
    </row>
    <row r="59" spans="6:10" ht="12.75">
      <c r="F59" s="60" t="s">
        <v>50</v>
      </c>
      <c r="G59" s="61"/>
      <c r="H59" s="68">
        <v>6</v>
      </c>
      <c r="I59" s="61" t="s">
        <v>51</v>
      </c>
      <c r="J59" s="63"/>
    </row>
    <row r="60" spans="1:10" ht="12.75">
      <c r="A60" s="5" t="s">
        <v>52</v>
      </c>
      <c r="D60" s="69">
        <v>500</v>
      </c>
      <c r="F60" s="60" t="s">
        <v>53</v>
      </c>
      <c r="G60" s="61"/>
      <c r="H60" s="68" t="s">
        <v>54</v>
      </c>
      <c r="I60" s="61"/>
      <c r="J60" s="63"/>
    </row>
    <row r="61" spans="6:10" ht="12.75">
      <c r="F61" s="60" t="s">
        <v>55</v>
      </c>
      <c r="G61" s="61"/>
      <c r="H61" s="70">
        <f>IF(H60="Y",(H55*H57/12),PMT(H57/12,H58*12,H55*-1,0,0))</f>
        <v>544.4166666666666</v>
      </c>
      <c r="I61" s="71" t="str">
        <f>IF(H60="Y","Interest Only","")</f>
        <v>Interest Only</v>
      </c>
      <c r="J61" s="63"/>
    </row>
    <row r="62" spans="1:10" ht="12.75">
      <c r="A62" s="5" t="s">
        <v>56</v>
      </c>
      <c r="D62" s="1">
        <f>H59*B63</f>
        <v>720</v>
      </c>
      <c r="F62" s="60" t="s">
        <v>43</v>
      </c>
      <c r="G62" s="61"/>
      <c r="H62" s="72">
        <f>IF(H60="N",-1*(CUMIPMT(H57/12,H58*12,H55,1,H59,0)),((H57/12)*H55*H59))</f>
        <v>3266.5</v>
      </c>
      <c r="I62" s="61"/>
      <c r="J62" s="63"/>
    </row>
    <row r="63" spans="1:10" ht="12.75">
      <c r="A63" s="15" t="s">
        <v>57</v>
      </c>
      <c r="B63" s="23">
        <v>120</v>
      </c>
      <c r="F63" s="73" t="s">
        <v>45</v>
      </c>
      <c r="G63" s="74"/>
      <c r="H63" s="75">
        <f>IF(H60="Y",0,-1*(CUMPRINC(H57/12,H58*12,H55,1,H59,0)))</f>
        <v>0</v>
      </c>
      <c r="I63" s="74"/>
      <c r="J63" s="76"/>
    </row>
    <row r="64" spans="2:4" ht="12.75">
      <c r="B64" s="15" t="s">
        <v>58</v>
      </c>
      <c r="D64" s="1">
        <v>240</v>
      </c>
    </row>
    <row r="65" spans="2:4" ht="12.75">
      <c r="B65" s="15" t="s">
        <v>59</v>
      </c>
      <c r="D65" s="1">
        <f>D29</f>
        <v>240</v>
      </c>
    </row>
    <row r="66" spans="2:4" ht="12.75">
      <c r="B66" s="15" t="s">
        <v>60</v>
      </c>
      <c r="D66" s="77">
        <f>D62-D64-D65</f>
        <v>240</v>
      </c>
    </row>
    <row r="68" spans="1:4" ht="12.75">
      <c r="A68" t="s">
        <v>61</v>
      </c>
      <c r="D68" s="78">
        <f>(H59*G30)-(D20+D30)</f>
        <v>-400</v>
      </c>
    </row>
    <row r="69" spans="6:9" ht="12.75">
      <c r="F69" s="79"/>
      <c r="G69" s="79"/>
      <c r="H69" s="79"/>
      <c r="I69" s="79"/>
    </row>
    <row r="70" spans="1:9" ht="12.75">
      <c r="A70" t="s">
        <v>62</v>
      </c>
      <c r="D70" s="80">
        <f>H70*H71</f>
        <v>7800</v>
      </c>
      <c r="F70" s="81" t="s">
        <v>63</v>
      </c>
      <c r="G70" s="82"/>
      <c r="H70" s="83">
        <v>130000</v>
      </c>
      <c r="I70" s="79"/>
    </row>
    <row r="71" spans="6:9" ht="12.75">
      <c r="F71" s="84" t="s">
        <v>64</v>
      </c>
      <c r="G71" s="85"/>
      <c r="H71" s="86">
        <v>0.06</v>
      </c>
      <c r="I71" s="79"/>
    </row>
    <row r="72" spans="1:9" ht="12.75">
      <c r="A72" t="s">
        <v>65</v>
      </c>
      <c r="D72" s="69">
        <f>H78</f>
        <v>0</v>
      </c>
      <c r="F72" s="79"/>
      <c r="G72" s="79"/>
      <c r="H72" s="79"/>
      <c r="I72" s="79"/>
    </row>
    <row r="73" spans="6:8" ht="12.75">
      <c r="F73" s="87" t="s">
        <v>66</v>
      </c>
      <c r="G73" s="82"/>
      <c r="H73" s="88"/>
    </row>
    <row r="74" spans="1:8" ht="12.75">
      <c r="A74" t="s">
        <v>67</v>
      </c>
      <c r="D74" s="69">
        <v>1000</v>
      </c>
      <c r="F74" s="89"/>
      <c r="G74" s="90"/>
      <c r="H74" s="91"/>
    </row>
    <row r="75" spans="6:8" ht="12.75">
      <c r="F75" s="89"/>
      <c r="G75" s="90"/>
      <c r="H75" s="91"/>
    </row>
    <row r="76" spans="2:8" ht="12.75">
      <c r="B76" t="s">
        <v>68</v>
      </c>
      <c r="D76" s="59">
        <f>IF(H60="Y",H55,H55-H63)</f>
        <v>111200</v>
      </c>
      <c r="F76" s="89"/>
      <c r="G76" s="90"/>
      <c r="H76" s="91"/>
    </row>
    <row r="77" spans="6:8" ht="12.75">
      <c r="F77" s="89" t="s">
        <v>69</v>
      </c>
      <c r="G77" s="90"/>
      <c r="H77" s="91"/>
    </row>
    <row r="78" spans="2:8" ht="12.75">
      <c r="B78" s="21" t="s">
        <v>63</v>
      </c>
      <c r="D78" s="59">
        <f>H70</f>
        <v>130000</v>
      </c>
      <c r="F78" s="92"/>
      <c r="G78" s="93" t="s">
        <v>70</v>
      </c>
      <c r="H78" s="94">
        <f>SUM(H74:H77)</f>
        <v>0</v>
      </c>
    </row>
    <row r="80" spans="2:4" ht="15.75">
      <c r="B80" s="95" t="s">
        <v>71</v>
      </c>
      <c r="D80" s="96">
        <f>D78-D76-D74-D72-D70-D68-D62-D60-D58-D55-D43-D44-D39-D9</f>
        <v>-12796.5</v>
      </c>
    </row>
    <row r="81" spans="2:4" ht="15.75">
      <c r="B81" s="95"/>
      <c r="D81" s="97"/>
    </row>
    <row r="82" spans="1:4" ht="15.75">
      <c r="A82" s="5" t="s">
        <v>72</v>
      </c>
      <c r="B82" s="95"/>
      <c r="D82" s="97"/>
    </row>
    <row r="84" spans="1:4" ht="15.75">
      <c r="A84" t="s">
        <v>73</v>
      </c>
      <c r="D84" s="98">
        <f>D80/D53</f>
        <v>0.338621328393755</v>
      </c>
    </row>
    <row r="86" spans="1:6" ht="23.25">
      <c r="A86" t="s">
        <v>74</v>
      </c>
      <c r="D86" s="99" t="str">
        <f>IF(D80&gt;G11,"GO!","NO GO!")</f>
        <v>NO GO!</v>
      </c>
      <c r="F86" t="s">
        <v>75</v>
      </c>
    </row>
    <row r="87" spans="1:6" ht="23.25">
      <c r="A87" t="s">
        <v>76</v>
      </c>
      <c r="D87" s="100" t="str">
        <f>IF((D80/H70)&gt;G12,"GO!","NO GO!")</f>
        <v>NO GO!</v>
      </c>
      <c r="F87" t="s">
        <v>77</v>
      </c>
    </row>
  </sheetData>
  <sheetProtection password="CAE9" sheet="1" objects="1" scenarios="1" selectLockedCells="1" selectUnlockedCells="1"/>
  <mergeCells count="3">
    <mergeCell ref="D4:F4"/>
    <mergeCell ref="D5:F5"/>
    <mergeCell ref="G9:H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6"/>
  <sheetViews>
    <sheetView showGridLines="0" workbookViewId="0" topLeftCell="A1">
      <selection activeCell="C4" sqref="C4"/>
    </sheetView>
  </sheetViews>
  <sheetFormatPr defaultColWidth="9.140625" defaultRowHeight="12.75"/>
  <sheetData>
    <row r="4" ht="12.75">
      <c r="A4" t="s">
        <v>78</v>
      </c>
    </row>
    <row r="5" ht="12.75">
      <c r="A5" t="s">
        <v>79</v>
      </c>
    </row>
    <row r="6" ht="12.75">
      <c r="A6">
        <v>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